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ento_zošit" defaultThemeVersion="202300"/>
  <mc:AlternateContent xmlns:mc="http://schemas.openxmlformats.org/markup-compatibility/2006">
    <mc:Choice Requires="x15">
      <x15ac:absPath xmlns:x15ac="http://schemas.microsoft.com/office/spreadsheetml/2010/11/ac" url="D:\user\Trolejbusy_Marta\DP\cenová časť po pripomienkach\"/>
    </mc:Choice>
  </mc:AlternateContent>
  <xr:revisionPtr revIDLastSave="0" documentId="13_ncr:1_{37D60E35-1E88-4C68-945B-47729D0C28A9}" xr6:coauthVersionLast="47" xr6:coauthVersionMax="47" xr10:uidLastSave="{00000000-0000-0000-0000-000000000000}"/>
  <workbookProtection workbookAlgorithmName="SHA-512" workbookHashValue="fRoAfs+F56w3ctvbd+MnLokB0rfvtXA1aalBm3Y9P+HBb7ebL6Ilks/e5eeW1bVyWfd5Epgh7Ej/nkkPE9L8jw==" workbookSaltValue="5IrwJFBMa1w/QZ+KVEv2Vw==" workbookSpinCount="100000" lockStructure="1"/>
  <bookViews>
    <workbookView xWindow="28680" yWindow="-120" windowWidth="29040" windowHeight="17520" tabRatio="598" xr2:uid="{AA4E13DD-B006-41D5-8C11-48D7218D1611}"/>
  </bookViews>
  <sheets>
    <sheet name="CVS" sheetId="1" r:id="rId1"/>
    <sheet name="zoznam SO" sheetId="198" r:id="rId2"/>
    <sheet name="001" sheetId="2" r:id="rId3"/>
    <sheet name="121" sheetId="3" r:id="rId4"/>
    <sheet name="122" sheetId="4" r:id="rId5"/>
    <sheet name="122.70" sheetId="199" r:id="rId6"/>
    <sheet name="123" sheetId="5" r:id="rId7"/>
    <sheet name="124" sheetId="6" r:id="rId8"/>
    <sheet name="125" sheetId="7" r:id="rId9"/>
    <sheet name="201" sheetId="8" r:id="rId10"/>
    <sheet name="202" sheetId="9" r:id="rId11"/>
    <sheet name="301" sheetId="10" r:id="rId12"/>
    <sheet name="302" sheetId="11" r:id="rId13"/>
    <sheet name="303" sheetId="12" r:id="rId14"/>
    <sheet name="304" sheetId="13" r:id="rId15"/>
    <sheet name="305" sheetId="14" r:id="rId16"/>
    <sheet name="306" sheetId="15" r:id="rId17"/>
    <sheet name="501" sheetId="16" r:id="rId18"/>
    <sheet name="502" sheetId="17" r:id="rId19"/>
    <sheet name="510" sheetId="18" r:id="rId20"/>
    <sheet name="601" sheetId="19" r:id="rId21"/>
    <sheet name="602" sheetId="20" r:id="rId22"/>
    <sheet name="603" sheetId="21" r:id="rId23"/>
    <sheet name="604" sheetId="22" r:id="rId24"/>
    <sheet name="611" sheetId="23" r:id="rId25"/>
    <sheet name="612" sheetId="24" r:id="rId26"/>
    <sheet name="613" sheetId="25" r:id="rId27"/>
    <sheet name="614" sheetId="26" r:id="rId28"/>
    <sheet name="615" sheetId="27" r:id="rId29"/>
    <sheet name="617" sheetId="28" r:id="rId30"/>
    <sheet name="618" sheetId="29" r:id="rId31"/>
    <sheet name="619" sheetId="30" r:id="rId32"/>
    <sheet name="620" sheetId="31" r:id="rId33"/>
    <sheet name="621" sheetId="32" r:id="rId34"/>
    <sheet name="622" sheetId="33" r:id="rId35"/>
    <sheet name="631" sheetId="34" r:id="rId36"/>
    <sheet name="651" sheetId="35" r:id="rId37"/>
    <sheet name="652" sheetId="36" r:id="rId38"/>
    <sheet name="653" sheetId="37" r:id="rId39"/>
    <sheet name="654" sheetId="38" r:id="rId40"/>
    <sheet name="655" sheetId="39" r:id="rId41"/>
    <sheet name="656" sheetId="40" r:id="rId42"/>
    <sheet name="662" sheetId="41" r:id="rId43"/>
    <sheet name="663" sheetId="42" r:id="rId44"/>
    <sheet name="664" sheetId="43" r:id="rId45"/>
    <sheet name="671" sheetId="44" r:id="rId46"/>
    <sheet name="672" sheetId="45" r:id="rId47"/>
    <sheet name="673" sheetId="46" r:id="rId48"/>
    <sheet name="674" sheetId="47" r:id="rId49"/>
    <sheet name="675" sheetId="200" r:id="rId50"/>
    <sheet name="676" sheetId="48" r:id="rId51"/>
    <sheet name="677" sheetId="49" r:id="rId52"/>
    <sheet name="678" sheetId="50" r:id="rId53"/>
    <sheet name="681" sheetId="201" r:id="rId54"/>
    <sheet name="682" sheetId="51" r:id="rId55"/>
    <sheet name="683" sheetId="52" r:id="rId56"/>
    <sheet name="684" sheetId="53" r:id="rId57"/>
    <sheet name="685" sheetId="54" r:id="rId58"/>
    <sheet name="686" sheetId="202" r:id="rId59"/>
    <sheet name="687" sheetId="55" r:id="rId60"/>
    <sheet name="688" sheetId="56" r:id="rId61"/>
    <sheet name="801" sheetId="57" r:id="rId62"/>
  </sheets>
  <definedNames>
    <definedName name="_xlnm._FilterDatabase" localSheetId="2" hidden="1">'001'!#REF!</definedName>
    <definedName name="_xlnm._FilterDatabase" localSheetId="3" hidden="1">'121'!#REF!</definedName>
    <definedName name="_xlnm._FilterDatabase" localSheetId="4" hidden="1">'122'!#REF!</definedName>
    <definedName name="_xlnm._FilterDatabase" localSheetId="6" hidden="1">'123'!#REF!</definedName>
    <definedName name="_xlnm._FilterDatabase" localSheetId="7" hidden="1">'124'!#REF!</definedName>
    <definedName name="_xlnm._FilterDatabase" localSheetId="8" hidden="1">'125'!#REF!</definedName>
    <definedName name="_xlnm._FilterDatabase" localSheetId="9" hidden="1">'201'!#REF!</definedName>
    <definedName name="_xlnm._FilterDatabase" localSheetId="10" hidden="1">'202'!#REF!</definedName>
    <definedName name="_xlnm._FilterDatabase" localSheetId="11" hidden="1">'301'!#REF!</definedName>
    <definedName name="_xlnm._FilterDatabase" localSheetId="12" hidden="1">'302'!#REF!</definedName>
    <definedName name="_xlnm._FilterDatabase" localSheetId="13" hidden="1">'303'!#REF!</definedName>
    <definedName name="_xlnm._FilterDatabase" localSheetId="14" hidden="1">'304'!#REF!</definedName>
    <definedName name="_xlnm._FilterDatabase" localSheetId="15" hidden="1">'305'!#REF!</definedName>
    <definedName name="_xlnm._FilterDatabase" localSheetId="16" hidden="1">'306'!#REF!</definedName>
    <definedName name="_xlnm._FilterDatabase" localSheetId="17" hidden="1">'501'!#REF!</definedName>
    <definedName name="_xlnm._FilterDatabase" localSheetId="18" hidden="1">'502'!#REF!</definedName>
    <definedName name="_xlnm._FilterDatabase" localSheetId="19" hidden="1">'510'!#REF!</definedName>
    <definedName name="_xlnm._FilterDatabase" localSheetId="20" hidden="1">'601'!#REF!</definedName>
    <definedName name="_xlnm._FilterDatabase" localSheetId="21" hidden="1">'602'!#REF!</definedName>
    <definedName name="_xlnm._FilterDatabase" localSheetId="22" hidden="1">'603'!#REF!</definedName>
    <definedName name="_xlnm._FilterDatabase" localSheetId="23" hidden="1">'604'!#REF!</definedName>
    <definedName name="_xlnm._FilterDatabase" localSheetId="24" hidden="1">'611'!#REF!</definedName>
    <definedName name="_xlnm._FilterDatabase" localSheetId="25" hidden="1">'612'!#REF!</definedName>
    <definedName name="_xlnm._FilterDatabase" localSheetId="26" hidden="1">'613'!#REF!</definedName>
    <definedName name="_xlnm._FilterDatabase" localSheetId="27" hidden="1">'614'!#REF!</definedName>
    <definedName name="_xlnm._FilterDatabase" localSheetId="28" hidden="1">'615'!#REF!</definedName>
    <definedName name="_xlnm._FilterDatabase" localSheetId="29" hidden="1">'617'!#REF!</definedName>
    <definedName name="_xlnm._FilterDatabase" localSheetId="30" hidden="1">'618'!#REF!</definedName>
    <definedName name="_xlnm._FilterDatabase" localSheetId="31" hidden="1">'619'!#REF!</definedName>
    <definedName name="_xlnm._FilterDatabase" localSheetId="32" hidden="1">'620'!#REF!</definedName>
    <definedName name="_xlnm._FilterDatabase" localSheetId="33" hidden="1">'621'!#REF!</definedName>
    <definedName name="_xlnm._FilterDatabase" localSheetId="34" hidden="1">'622'!#REF!</definedName>
    <definedName name="_xlnm._FilterDatabase" localSheetId="35" hidden="1">'631'!#REF!</definedName>
    <definedName name="_xlnm._FilterDatabase" localSheetId="36" hidden="1">'651'!#REF!</definedName>
    <definedName name="_xlnm._FilterDatabase" localSheetId="37" hidden="1">'652'!#REF!</definedName>
    <definedName name="_xlnm._FilterDatabase" localSheetId="38" hidden="1">'653'!#REF!</definedName>
    <definedName name="_xlnm._FilterDatabase" localSheetId="39" hidden="1">'654'!#REF!</definedName>
    <definedName name="_xlnm._FilterDatabase" localSheetId="40" hidden="1">'655'!#REF!</definedName>
    <definedName name="_xlnm._FilterDatabase" localSheetId="41" hidden="1">'656'!#REF!</definedName>
    <definedName name="_xlnm._FilterDatabase" localSheetId="42" hidden="1">'662'!#REF!</definedName>
    <definedName name="_xlnm._FilterDatabase" localSheetId="43" hidden="1">'663'!#REF!</definedName>
    <definedName name="_xlnm._FilterDatabase" localSheetId="44" hidden="1">'664'!#REF!</definedName>
    <definedName name="_xlnm._FilterDatabase" localSheetId="45" hidden="1">'671'!#REF!</definedName>
    <definedName name="_xlnm._FilterDatabase" localSheetId="47" hidden="1">'673'!#REF!</definedName>
    <definedName name="_xlnm._FilterDatabase" localSheetId="50" hidden="1">'676'!#REF!</definedName>
    <definedName name="_xlnm._FilterDatabase" localSheetId="51" hidden="1">'677'!#REF!</definedName>
    <definedName name="_xlnm._FilterDatabase" localSheetId="52" hidden="1">'678'!#REF!</definedName>
    <definedName name="_xlnm._FilterDatabase" localSheetId="55" hidden="1">'683'!#REF!</definedName>
    <definedName name="_xlnm._FilterDatabase" localSheetId="57" hidden="1">'685'!#REF!</definedName>
    <definedName name="_xlnm._FilterDatabase" localSheetId="60" hidden="1">'688'!#REF!</definedName>
    <definedName name="_xlnm.Print_Titles" localSheetId="2">'001'!$1:$4</definedName>
    <definedName name="_xlnm.Print_Titles" localSheetId="3">'121'!$1:$4</definedName>
    <definedName name="_xlnm.Print_Titles" localSheetId="4">'122'!$1:$4</definedName>
    <definedName name="_xlnm.Print_Titles" localSheetId="5">'122.70'!$1:$4</definedName>
    <definedName name="_xlnm.Print_Titles" localSheetId="6">'123'!$1:$4</definedName>
    <definedName name="_xlnm.Print_Titles" localSheetId="7">'124'!$1:$4</definedName>
    <definedName name="_xlnm.Print_Titles" localSheetId="8">'125'!$1:$4</definedName>
    <definedName name="_xlnm.Print_Titles" localSheetId="9">'201'!$1:$4</definedName>
    <definedName name="_xlnm.Print_Titles" localSheetId="10">'202'!$1:$4</definedName>
    <definedName name="_xlnm.Print_Titles" localSheetId="11">'301'!$1:$4</definedName>
    <definedName name="_xlnm.Print_Titles" localSheetId="12">'302'!$1:$4</definedName>
    <definedName name="_xlnm.Print_Titles" localSheetId="13">'303'!$1:$4</definedName>
    <definedName name="_xlnm.Print_Titles" localSheetId="14">'304'!$1:$4</definedName>
    <definedName name="_xlnm.Print_Titles" localSheetId="15">'305'!$1:$4</definedName>
    <definedName name="_xlnm.Print_Titles" localSheetId="16">'306'!$1:$4</definedName>
    <definedName name="_xlnm.Print_Titles" localSheetId="17">'501'!$1:$4</definedName>
    <definedName name="_xlnm.Print_Titles" localSheetId="18">'502'!$1:$4</definedName>
    <definedName name="_xlnm.Print_Titles" localSheetId="19">'510'!$1:$4</definedName>
    <definedName name="_xlnm.Print_Titles" localSheetId="20">'601'!$1:$4</definedName>
    <definedName name="_xlnm.Print_Titles" localSheetId="21">'602'!$1:$4</definedName>
    <definedName name="_xlnm.Print_Titles" localSheetId="22">'603'!$1:$4</definedName>
    <definedName name="_xlnm.Print_Titles" localSheetId="23">'604'!$1:$4</definedName>
    <definedName name="_xlnm.Print_Titles" localSheetId="24">'611'!$1:$4</definedName>
    <definedName name="_xlnm.Print_Titles" localSheetId="25">'612'!$1:$4</definedName>
    <definedName name="_xlnm.Print_Titles" localSheetId="26">'613'!$1:$4</definedName>
    <definedName name="_xlnm.Print_Titles" localSheetId="27">'614'!$1:$4</definedName>
    <definedName name="_xlnm.Print_Titles" localSheetId="28">'615'!$1:$4</definedName>
    <definedName name="_xlnm.Print_Titles" localSheetId="29">'617'!$1:$4</definedName>
    <definedName name="_xlnm.Print_Titles" localSheetId="30">'618'!$1:$4</definedName>
    <definedName name="_xlnm.Print_Titles" localSheetId="31">'619'!$1:$4</definedName>
    <definedName name="_xlnm.Print_Titles" localSheetId="32">'620'!$1:$4</definedName>
    <definedName name="_xlnm.Print_Titles" localSheetId="33">'621'!$1:$4</definedName>
    <definedName name="_xlnm.Print_Titles" localSheetId="34">'622'!$1:$4</definedName>
    <definedName name="_xlnm.Print_Titles" localSheetId="35">'631'!$1:$4</definedName>
    <definedName name="_xlnm.Print_Titles" localSheetId="36">'651'!$1:$4</definedName>
    <definedName name="_xlnm.Print_Titles" localSheetId="37">'652'!$1:$4</definedName>
    <definedName name="_xlnm.Print_Titles" localSheetId="38">'653'!$1:$4</definedName>
    <definedName name="_xlnm.Print_Titles" localSheetId="39">'654'!$1:$4</definedName>
    <definedName name="_xlnm.Print_Titles" localSheetId="40">'655'!$1:$4</definedName>
    <definedName name="_xlnm.Print_Titles" localSheetId="41">'656'!$1:$4</definedName>
    <definedName name="_xlnm.Print_Titles" localSheetId="42">'662'!$1:$4</definedName>
    <definedName name="_xlnm.Print_Titles" localSheetId="43">'663'!$1:$4</definedName>
    <definedName name="_xlnm.Print_Titles" localSheetId="44">'664'!$1:$4</definedName>
    <definedName name="_xlnm.Print_Titles" localSheetId="45">'671'!$1:$4</definedName>
    <definedName name="_xlnm.Print_Titles" localSheetId="46">'672'!$1:$4</definedName>
    <definedName name="_xlnm.Print_Titles" localSheetId="47">'673'!$1:$4</definedName>
    <definedName name="_xlnm.Print_Titles" localSheetId="48">'674'!$1:$4</definedName>
    <definedName name="_xlnm.Print_Titles" localSheetId="49">'675'!$1:$4</definedName>
    <definedName name="_xlnm.Print_Titles" localSheetId="50">'676'!$1:$4</definedName>
    <definedName name="_xlnm.Print_Titles" localSheetId="51">'677'!$1:$4</definedName>
    <definedName name="_xlnm.Print_Titles" localSheetId="52">'678'!$1:$4</definedName>
    <definedName name="_xlnm.Print_Titles" localSheetId="53">'681'!$1:$4</definedName>
    <definedName name="_xlnm.Print_Titles" localSheetId="54">'682'!$1:$4</definedName>
    <definedName name="_xlnm.Print_Titles" localSheetId="55">'683'!$1:$4</definedName>
    <definedName name="_xlnm.Print_Titles" localSheetId="56">'684'!$1:$4</definedName>
    <definedName name="_xlnm.Print_Titles" localSheetId="57">'685'!$1:$4</definedName>
    <definedName name="_xlnm.Print_Titles" localSheetId="58">'686'!$1:$4</definedName>
    <definedName name="_xlnm.Print_Titles" localSheetId="59">'687'!$1:$4</definedName>
    <definedName name="_xlnm.Print_Titles" localSheetId="60">'688'!$1:$4</definedName>
    <definedName name="_xlnm.Print_Titles" localSheetId="61">'801'!$1:$4</definedName>
    <definedName name="_xlnm.Print_Titles" localSheetId="1">'zoznam SO'!$1:$3</definedName>
    <definedName name="_xlnm.Print_Area" localSheetId="3">'121'!$A$1:$H$429</definedName>
    <definedName name="_xlnm.Print_Area" localSheetId="4">'122'!$A$1:$H$806</definedName>
    <definedName name="_xlnm.Print_Area" localSheetId="6">'123'!$A$1:$H$273</definedName>
    <definedName name="_xlnm.Print_Area" localSheetId="7">'124'!$A$1:$H$442</definedName>
    <definedName name="_xlnm.Print_Area" localSheetId="8">'125'!$A$1:$H$430</definedName>
    <definedName name="_xlnm.Print_Area" localSheetId="9">'201'!$A$1:$H$93</definedName>
    <definedName name="_xlnm.Print_Area" localSheetId="10">'202'!$A$1:$H$30</definedName>
    <definedName name="_xlnm.Print_Area" localSheetId="11">'301'!$A$1:$H$235</definedName>
    <definedName name="_xlnm.Print_Area" localSheetId="12">'302'!$A$1:$H$181</definedName>
    <definedName name="_xlnm.Print_Area" localSheetId="13">'303'!$A$1:$H$207</definedName>
    <definedName name="_xlnm.Print_Area" localSheetId="14">'304'!$A$1:$H$111</definedName>
    <definedName name="_xlnm.Print_Area" localSheetId="15">'305'!$A$1:$H$88</definedName>
    <definedName name="_xlnm.Print_Area" localSheetId="16">'306'!$A$1:$H$127</definedName>
    <definedName name="_xlnm.Print_Area" localSheetId="17">'501'!$A$1:$H$125</definedName>
    <definedName name="_xlnm.Print_Area" localSheetId="18">'502'!$A$1:$H$162</definedName>
    <definedName name="_xlnm.Print_Area" localSheetId="19">'510'!$A$1:$H$110</definedName>
    <definedName name="_xlnm.Print_Area" localSheetId="20">'601'!$A$1:$H$219</definedName>
    <definedName name="_xlnm.Print_Area" localSheetId="21">'602'!$A$1:$H$118</definedName>
    <definedName name="_xlnm.Print_Area" localSheetId="22">'603'!$A$1:$H$32</definedName>
    <definedName name="_xlnm.Print_Area" localSheetId="23">'604'!$A$1:$H$75</definedName>
    <definedName name="_xlnm.Print_Area" localSheetId="24">'611'!$A$1:$H$71</definedName>
    <definedName name="_xlnm.Print_Area" localSheetId="25">'612'!$A$1:$H$71</definedName>
    <definedName name="_xlnm.Print_Area" localSheetId="26">'613'!$A$1:$H$70</definedName>
    <definedName name="_xlnm.Print_Area" localSheetId="27">'614'!$A$1:$H$71</definedName>
    <definedName name="_xlnm.Print_Area" localSheetId="28">'615'!$A$1:$H$95</definedName>
    <definedName name="_xlnm.Print_Area" localSheetId="29">'617'!$A$1:$H$112</definedName>
    <definedName name="_xlnm.Print_Area" localSheetId="30">'618'!$A$1:$H$61</definedName>
    <definedName name="_xlnm.Print_Area" localSheetId="31">'619'!$A$1:$H$106</definedName>
    <definedName name="_xlnm.Print_Area" localSheetId="32">'620'!$A$1:$H$124</definedName>
    <definedName name="_xlnm.Print_Area" localSheetId="33">'621'!$A$1:$H$105</definedName>
    <definedName name="_xlnm.Print_Area" localSheetId="34">'622'!$A$1:$H$104</definedName>
    <definedName name="_xlnm.Print_Area" localSheetId="35">'631'!$A$1:$H$157</definedName>
    <definedName name="_xlnm.Print_Area" localSheetId="36">'651'!$A$1:$H$62</definedName>
    <definedName name="_xlnm.Print_Area" localSheetId="37">'652'!$A$1:$H$21</definedName>
    <definedName name="_xlnm.Print_Area" localSheetId="38">'653'!$A$1:$H$183</definedName>
    <definedName name="_xlnm.Print_Area" localSheetId="39">'654'!$A$1:$H$80</definedName>
    <definedName name="_xlnm.Print_Area" localSheetId="40">'655'!$A$1:$H$45</definedName>
    <definedName name="_xlnm.Print_Area" localSheetId="41">'656'!$A$1:$H$42</definedName>
    <definedName name="_xlnm.Print_Area" localSheetId="42">'662'!$A$1:$H$146</definedName>
    <definedName name="_xlnm.Print_Area" localSheetId="43">'663'!$A$1:$H$150</definedName>
    <definedName name="_xlnm.Print_Area" localSheetId="44">'664'!$A$1:$H$168</definedName>
    <definedName name="_xlnm.Print_Area" localSheetId="45">'671'!$A$1:$H$105</definedName>
    <definedName name="_xlnm.Print_Area" localSheetId="46">'672'!$A$1:$H$242</definedName>
    <definedName name="_xlnm.Print_Area" localSheetId="47">'673'!$A$1:$H$238</definedName>
    <definedName name="_xlnm.Print_Area" localSheetId="48">'674'!$A$1:$H$239</definedName>
    <definedName name="_xlnm.Print_Area" localSheetId="49">'675'!$A$1:$H$8</definedName>
    <definedName name="_xlnm.Print_Area" localSheetId="50">'676'!$A$1:$H$154</definedName>
    <definedName name="_xlnm.Print_Area" localSheetId="51">'677'!$A$1:$H$146</definedName>
    <definedName name="_xlnm.Print_Area" localSheetId="52">'678'!$A$1:$H$143</definedName>
    <definedName name="_xlnm.Print_Area" localSheetId="53">'681'!$A$1:$H$8</definedName>
    <definedName name="_xlnm.Print_Area" localSheetId="54">'682'!$A$1:$H$53</definedName>
    <definedName name="_xlnm.Print_Area" localSheetId="55">'683'!$A$1:$H$60</definedName>
    <definedName name="_xlnm.Print_Area" localSheetId="56">'684'!$A$1:$H$63</definedName>
    <definedName name="_xlnm.Print_Area" localSheetId="57">'685'!$A$1:$H$69</definedName>
    <definedName name="_xlnm.Print_Area" localSheetId="58">'686'!$A$1:$H$8</definedName>
    <definedName name="_xlnm.Print_Area" localSheetId="59">'687'!$A$1:$H$92</definedName>
    <definedName name="_xlnm.Print_Area" localSheetId="60">'688'!$A$1:$H$68</definedName>
    <definedName name="_xlnm.Print_Area" localSheetId="61">'801'!$A$1:$H$59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1" i="4" l="1"/>
  <c r="F220" i="4"/>
  <c r="F219" i="4"/>
  <c r="F138" i="3" l="1"/>
  <c r="F137" i="3"/>
  <c r="F136" i="3"/>
  <c r="F131" i="7"/>
  <c r="F130" i="7"/>
  <c r="F95" i="17"/>
  <c r="F90" i="2" l="1"/>
  <c r="A20" i="31" l="1"/>
  <c r="F56" i="57" l="1"/>
  <c r="F37" i="57"/>
  <c r="F34" i="57"/>
  <c r="F38" i="57" s="1"/>
  <c r="F24" i="57"/>
  <c r="F25" i="57" s="1"/>
  <c r="F21" i="57"/>
  <c r="F18" i="57"/>
  <c r="F13" i="57"/>
  <c r="A10" i="57"/>
  <c r="A15" i="57" l="1"/>
  <c r="A47" i="57" l="1"/>
  <c r="A53" i="57" s="1"/>
  <c r="A27" i="57"/>
  <c r="A31" i="57"/>
  <c r="A40" i="57"/>
  <c r="F55" i="56" l="1"/>
  <c r="F40" i="56"/>
  <c r="F32" i="56"/>
  <c r="F28" i="56"/>
  <c r="A8" i="56"/>
  <c r="F80" i="55"/>
  <c r="F65" i="55"/>
  <c r="F57" i="55"/>
  <c r="F53" i="55"/>
  <c r="F47" i="55"/>
  <c r="F42" i="55"/>
  <c r="F41" i="55"/>
  <c r="F43" i="55" s="1"/>
  <c r="F37" i="55"/>
  <c r="F9" i="55" s="1"/>
  <c r="F32" i="55"/>
  <c r="F31" i="55"/>
  <c r="F33" i="55" s="1"/>
  <c r="A8" i="55"/>
  <c r="A11" i="56" l="1"/>
  <c r="A15" i="56"/>
  <c r="A20" i="56"/>
  <c r="A26" i="56"/>
  <c r="A30" i="56"/>
  <c r="A36" i="56"/>
  <c r="A42" i="56"/>
  <c r="A46" i="56"/>
  <c r="A11" i="55"/>
  <c r="A14" i="55"/>
  <c r="A18" i="55"/>
  <c r="A23" i="55"/>
  <c r="A50" i="56" l="1"/>
  <c r="A29" i="55"/>
  <c r="A57" i="56" l="1"/>
  <c r="A63" i="56" s="1"/>
  <c r="A35" i="55"/>
  <c r="A39" i="55"/>
  <c r="A45" i="55"/>
  <c r="A51" i="55"/>
  <c r="A55" i="55"/>
  <c r="A61" i="55"/>
  <c r="A67" i="55" l="1"/>
  <c r="A71" i="55"/>
  <c r="A75" i="55" l="1"/>
  <c r="A82" i="55" s="1"/>
  <c r="A88" i="55" s="1"/>
  <c r="F55" i="54" l="1"/>
  <c r="F40" i="54"/>
  <c r="F32" i="54"/>
  <c r="F28" i="54"/>
  <c r="A8" i="54"/>
  <c r="F49" i="53"/>
  <c r="F34" i="53"/>
  <c r="F26" i="53"/>
  <c r="F22" i="53"/>
  <c r="A8" i="53"/>
  <c r="H58" i="52"/>
  <c r="H57" i="52" s="1"/>
  <c r="H54" i="52"/>
  <c r="H52" i="52"/>
  <c r="H51" i="52"/>
  <c r="F49" i="52"/>
  <c r="H45" i="52"/>
  <c r="H44" i="52"/>
  <c r="H41" i="52"/>
  <c r="H40" i="52"/>
  <c r="H37" i="52"/>
  <c r="H36" i="52"/>
  <c r="F34" i="52"/>
  <c r="H31" i="52" s="1"/>
  <c r="H30" i="52" s="1"/>
  <c r="F26" i="52"/>
  <c r="H25" i="52" s="1"/>
  <c r="H24" i="52" s="1"/>
  <c r="F22" i="52"/>
  <c r="H21" i="52"/>
  <c r="H20" i="52" s="1"/>
  <c r="H11" i="52"/>
  <c r="H8" i="52"/>
  <c r="A8" i="52"/>
  <c r="A11" i="54" l="1"/>
  <c r="A15" i="54"/>
  <c r="A11" i="53"/>
  <c r="A11" i="52"/>
  <c r="A15" i="52"/>
  <c r="A20" i="54" l="1"/>
  <c r="A26" i="54" s="1"/>
  <c r="A15" i="53"/>
  <c r="A20" i="52"/>
  <c r="A30" i="54" l="1"/>
  <c r="A20" i="53"/>
  <c r="A24" i="53"/>
  <c r="A36" i="53" s="1"/>
  <c r="A30" i="53"/>
  <c r="A24" i="52"/>
  <c r="A36" i="54" l="1"/>
  <c r="A40" i="53"/>
  <c r="A44" i="53" s="1"/>
  <c r="A51" i="53" s="1"/>
  <c r="A30" i="52"/>
  <c r="A46" i="54" l="1"/>
  <c r="A42" i="54"/>
  <c r="A50" i="54" s="1"/>
  <c r="A57" i="54" s="1"/>
  <c r="A64" i="54" s="1"/>
  <c r="A58" i="53"/>
  <c r="A36" i="52"/>
  <c r="A40" i="52" l="1"/>
  <c r="A44" i="52" s="1"/>
  <c r="A51" i="52" s="1"/>
  <c r="A57" i="52" s="1"/>
  <c r="F39" i="51"/>
  <c r="F24" i="51"/>
  <c r="A8" i="51"/>
  <c r="F140" i="50"/>
  <c r="F134" i="50"/>
  <c r="F123" i="50"/>
  <c r="F116" i="50"/>
  <c r="F110" i="50"/>
  <c r="F100" i="50"/>
  <c r="F93" i="50"/>
  <c r="F83" i="50"/>
  <c r="F73" i="50"/>
  <c r="F69" i="50"/>
  <c r="F63" i="50"/>
  <c r="F59" i="50" s="1"/>
  <c r="F9" i="50" s="1"/>
  <c r="F55" i="50"/>
  <c r="F45" i="50"/>
  <c r="F36" i="50"/>
  <c r="F27" i="50"/>
  <c r="A8" i="50"/>
  <c r="F143" i="49"/>
  <c r="F137" i="49"/>
  <c r="F126" i="49"/>
  <c r="F115" i="49"/>
  <c r="F101" i="49"/>
  <c r="F93" i="49"/>
  <c r="F83" i="49"/>
  <c r="F74" i="49"/>
  <c r="F70" i="49"/>
  <c r="F64" i="49"/>
  <c r="F60" i="49"/>
  <c r="F9" i="49" s="1"/>
  <c r="F56" i="49"/>
  <c r="F46" i="49"/>
  <c r="F37" i="49"/>
  <c r="F27" i="49"/>
  <c r="A11" i="49"/>
  <c r="A8" i="49"/>
  <c r="A11" i="51" l="1"/>
  <c r="A11" i="50"/>
  <c r="A14" i="50"/>
  <c r="A18" i="50"/>
  <c r="A23" i="50"/>
  <c r="A38" i="50"/>
  <c r="A47" i="50"/>
  <c r="A53" i="50"/>
  <c r="A57" i="50"/>
  <c r="A14" i="49"/>
  <c r="F151" i="48"/>
  <c r="F145" i="48"/>
  <c r="F131" i="48"/>
  <c r="F124" i="48"/>
  <c r="F117" i="48"/>
  <c r="F106" i="48"/>
  <c r="F98" i="48"/>
  <c r="F87" i="48"/>
  <c r="F79" i="48"/>
  <c r="F75" i="48"/>
  <c r="F69" i="48"/>
  <c r="F65" i="48" s="1"/>
  <c r="F9" i="48" s="1"/>
  <c r="F61" i="48"/>
  <c r="F51" i="48"/>
  <c r="F38" i="48"/>
  <c r="F28" i="48"/>
  <c r="A8" i="48"/>
  <c r="A15" i="51" l="1"/>
  <c r="A61" i="50"/>
  <c r="A18" i="49"/>
  <c r="A11" i="48"/>
  <c r="A14" i="48" s="1"/>
  <c r="A20" i="51" l="1"/>
  <c r="A26" i="51"/>
  <c r="A30" i="51" s="1"/>
  <c r="A67" i="50"/>
  <c r="A71" i="50"/>
  <c r="A77" i="50"/>
  <c r="A85" i="50"/>
  <c r="A23" i="49"/>
  <c r="A18" i="48"/>
  <c r="A23" i="48"/>
  <c r="A34" i="51" l="1"/>
  <c r="A41" i="51" s="1"/>
  <c r="A48" i="51" s="1"/>
  <c r="A95" i="50"/>
  <c r="A102" i="50" s="1"/>
  <c r="A106" i="50" s="1"/>
  <c r="A118" i="50" s="1"/>
  <c r="A125" i="50" s="1"/>
  <c r="A129" i="50" s="1"/>
  <c r="A89" i="50"/>
  <c r="A39" i="49"/>
  <c r="A48" i="49" s="1"/>
  <c r="A40" i="48"/>
  <c r="A136" i="50" l="1"/>
  <c r="A54" i="49"/>
  <c r="A58" i="49" s="1"/>
  <c r="A62" i="49" s="1"/>
  <c r="A68" i="49" s="1"/>
  <c r="A72" i="49" s="1"/>
  <c r="A78" i="49" s="1"/>
  <c r="A85" i="49" s="1"/>
  <c r="A89" i="49" s="1"/>
  <c r="A95" i="49" s="1"/>
  <c r="A103" i="49" s="1"/>
  <c r="A107" i="49" s="1"/>
  <c r="A53" i="48"/>
  <c r="A121" i="49" l="1"/>
  <c r="A128" i="49" s="1"/>
  <c r="A132" i="49" s="1"/>
  <c r="A139" i="49" s="1"/>
  <c r="A59" i="48"/>
  <c r="A63" i="48" l="1"/>
  <c r="A73" i="48" l="1"/>
  <c r="A77" i="48" s="1"/>
  <c r="A83" i="48" s="1"/>
  <c r="A67" i="48"/>
  <c r="A89" i="48" s="1"/>
  <c r="A93" i="48" s="1"/>
  <c r="A100" i="48" s="1"/>
  <c r="A108" i="48" s="1"/>
  <c r="A112" i="48" s="1"/>
  <c r="A126" i="48" s="1"/>
  <c r="A133" i="48" s="1"/>
  <c r="A139" i="48" s="1"/>
  <c r="A147" i="48" s="1"/>
  <c r="F236" i="47" l="1"/>
  <c r="F228" i="47"/>
  <c r="F208" i="47"/>
  <c r="F201" i="47"/>
  <c r="F192" i="47"/>
  <c r="F185" i="47"/>
  <c r="F172" i="47"/>
  <c r="F159" i="47"/>
  <c r="F152" i="47"/>
  <c r="F139" i="47"/>
  <c r="F127" i="47"/>
  <c r="F128" i="47" s="1"/>
  <c r="F126" i="47"/>
  <c r="F122" i="47"/>
  <c r="F115" i="47"/>
  <c r="F114" i="47"/>
  <c r="F113" i="47"/>
  <c r="F116" i="47" s="1"/>
  <c r="F108" i="47"/>
  <c r="F107" i="47"/>
  <c r="F106" i="47"/>
  <c r="F109" i="47" s="1"/>
  <c r="F100" i="47"/>
  <c r="F96" i="47"/>
  <c r="F81" i="47" s="1"/>
  <c r="F9" i="47" s="1"/>
  <c r="F92" i="47"/>
  <c r="F87" i="47"/>
  <c r="F86" i="47"/>
  <c r="F85" i="47"/>
  <c r="F88" i="47" s="1"/>
  <c r="F76" i="47"/>
  <c r="F75" i="47"/>
  <c r="F77" i="47" s="1"/>
  <c r="F70" i="47"/>
  <c r="F69" i="47"/>
  <c r="F68" i="47"/>
  <c r="F67" i="47"/>
  <c r="F71" i="47" s="1"/>
  <c r="F57" i="47"/>
  <c r="F45" i="47"/>
  <c r="F32" i="47"/>
  <c r="A8" i="47"/>
  <c r="A11" i="47" l="1"/>
  <c r="A14" i="47"/>
  <c r="A18" i="47"/>
  <c r="A23" i="47"/>
  <c r="A47" i="47"/>
  <c r="A59" i="47" l="1"/>
  <c r="A73" i="47"/>
  <c r="A65" i="47"/>
  <c r="A79" i="47" l="1"/>
  <c r="A83" i="47" l="1"/>
  <c r="A90" i="47" l="1"/>
  <c r="A94" i="47"/>
  <c r="A98" i="47" l="1"/>
  <c r="A104" i="47" s="1"/>
  <c r="A111" i="47" s="1"/>
  <c r="A120" i="47" s="1"/>
  <c r="A124" i="47" s="1"/>
  <c r="A132" i="47" s="1"/>
  <c r="A141" i="47" s="1"/>
  <c r="A145" i="47" s="1"/>
  <c r="A154" i="47" s="1"/>
  <c r="A161" i="47" s="1"/>
  <c r="A174" i="47" s="1"/>
  <c r="A178" i="47" s="1"/>
  <c r="A203" i="47" s="1"/>
  <c r="A210" i="47" s="1"/>
  <c r="A216" i="47" s="1"/>
  <c r="A222" i="47" s="1"/>
  <c r="A232" i="47" s="1"/>
  <c r="F234" i="46" l="1"/>
  <c r="F226" i="46"/>
  <c r="F207" i="46"/>
  <c r="F200" i="46"/>
  <c r="F192" i="46"/>
  <c r="F186" i="46"/>
  <c r="F174" i="46"/>
  <c r="F163" i="46"/>
  <c r="F157" i="46"/>
  <c r="F145" i="46"/>
  <c r="F133" i="46"/>
  <c r="F134" i="46" s="1"/>
  <c r="F132" i="46"/>
  <c r="F128" i="46"/>
  <c r="F121" i="46"/>
  <c r="F120" i="46"/>
  <c r="F119" i="46"/>
  <c r="F122" i="46" s="1"/>
  <c r="F114" i="46"/>
  <c r="F113" i="46"/>
  <c r="F112" i="46"/>
  <c r="F115" i="46" s="1"/>
  <c r="F106" i="46"/>
  <c r="F102" i="46"/>
  <c r="F86" i="46" s="1"/>
  <c r="F9" i="46" s="1"/>
  <c r="F98" i="46"/>
  <c r="F93" i="46"/>
  <c r="F92" i="46"/>
  <c r="F91" i="46"/>
  <c r="F94" i="46" s="1"/>
  <c r="F90" i="46"/>
  <c r="F81" i="46"/>
  <c r="F80" i="46"/>
  <c r="F79" i="46"/>
  <c r="F82" i="46" s="1"/>
  <c r="F74" i="46"/>
  <c r="F73" i="46"/>
  <c r="F72" i="46"/>
  <c r="F71" i="46"/>
  <c r="F75" i="46" s="1"/>
  <c r="F61" i="46"/>
  <c r="F49" i="46"/>
  <c r="F33" i="46"/>
  <c r="A11" i="46"/>
  <c r="A8" i="46"/>
  <c r="A14" i="46" l="1"/>
  <c r="A18" i="46" l="1"/>
  <c r="A23" i="46" l="1"/>
  <c r="A51" i="46" l="1"/>
  <c r="A63" i="46"/>
  <c r="A69" i="46" l="1"/>
  <c r="A77" i="46" s="1"/>
  <c r="A84" i="46" l="1"/>
  <c r="A88" i="46"/>
  <c r="A96" i="46" s="1"/>
  <c r="A100" i="46" s="1"/>
  <c r="A104" i="46" s="1"/>
  <c r="A110" i="46" s="1"/>
  <c r="A117" i="46" s="1"/>
  <c r="A126" i="46" s="1"/>
  <c r="A130" i="46" s="1"/>
  <c r="A138" i="46" s="1"/>
  <c r="A147" i="46" s="1"/>
  <c r="A151" i="46" s="1"/>
  <c r="A159" i="46" s="1"/>
  <c r="A165" i="46" s="1"/>
  <c r="A176" i="46" s="1"/>
  <c r="A180" i="46" s="1"/>
  <c r="A202" i="46" s="1"/>
  <c r="A209" i="46" s="1"/>
  <c r="A215" i="46" s="1"/>
  <c r="A221" i="46" s="1"/>
  <c r="A230" i="46" s="1"/>
  <c r="F239" i="45" l="1"/>
  <c r="F231" i="45"/>
  <c r="F210" i="45"/>
  <c r="F203" i="45"/>
  <c r="F195" i="45"/>
  <c r="F189" i="45"/>
  <c r="F177" i="45"/>
  <c r="F166" i="45"/>
  <c r="F159" i="45"/>
  <c r="F147" i="45"/>
  <c r="F134" i="45"/>
  <c r="F135" i="45" s="1"/>
  <c r="F133" i="45"/>
  <c r="F129" i="45"/>
  <c r="F122" i="45"/>
  <c r="F121" i="45"/>
  <c r="F120" i="45"/>
  <c r="F123" i="45" s="1"/>
  <c r="F115" i="45"/>
  <c r="F114" i="45"/>
  <c r="F113" i="45"/>
  <c r="F116" i="45" s="1"/>
  <c r="F103" i="45"/>
  <c r="F87" i="45" s="1"/>
  <c r="F9" i="45" s="1"/>
  <c r="F99" i="45"/>
  <c r="F94" i="45"/>
  <c r="F93" i="45"/>
  <c r="F92" i="45"/>
  <c r="F91" i="45"/>
  <c r="F95" i="45" s="1"/>
  <c r="F82" i="45"/>
  <c r="F81" i="45"/>
  <c r="F80" i="45"/>
  <c r="F83" i="45" s="1"/>
  <c r="F75" i="45"/>
  <c r="F74" i="45"/>
  <c r="F73" i="45"/>
  <c r="F72" i="45"/>
  <c r="F76" i="45" s="1"/>
  <c r="F62" i="45"/>
  <c r="F49" i="45"/>
  <c r="F33" i="45"/>
  <c r="A11" i="45"/>
  <c r="A8" i="45"/>
  <c r="A14" i="45" l="1"/>
  <c r="A18" i="45"/>
  <c r="A23" i="45" l="1"/>
  <c r="A51" i="45" l="1"/>
  <c r="A64" i="45" l="1"/>
  <c r="A70" i="45" l="1"/>
  <c r="A78" i="45" l="1"/>
  <c r="A85" i="45" l="1"/>
  <c r="A89" i="45" s="1"/>
  <c r="A97" i="45" s="1"/>
  <c r="A101" i="45" s="1"/>
  <c r="A105" i="45" s="1"/>
  <c r="A111" i="45" s="1"/>
  <c r="A118" i="45" s="1"/>
  <c r="A127" i="45" s="1"/>
  <c r="A131" i="45" l="1"/>
  <c r="A139" i="45" s="1"/>
  <c r="A149" i="45" s="1"/>
  <c r="A153" i="45" s="1"/>
  <c r="A161" i="45" s="1"/>
  <c r="A168" i="45" s="1"/>
  <c r="A179" i="45" s="1"/>
  <c r="A183" i="45" s="1"/>
  <c r="A205" i="45" s="1"/>
  <c r="A212" i="45" s="1"/>
  <c r="A218" i="45" s="1"/>
  <c r="A224" i="45" s="1"/>
  <c r="A235" i="45" s="1"/>
  <c r="F102" i="44"/>
  <c r="F96" i="44"/>
  <c r="F88" i="44"/>
  <c r="F81" i="44"/>
  <c r="F75" i="44"/>
  <c r="F65" i="44"/>
  <c r="F51" i="44"/>
  <c r="F39" i="44"/>
  <c r="F30" i="44"/>
  <c r="A8" i="44"/>
  <c r="A11" i="44" l="1"/>
  <c r="A15" i="44"/>
  <c r="A20" i="44"/>
  <c r="F151" i="43"/>
  <c r="F145" i="43"/>
  <c r="F138" i="43"/>
  <c r="F131" i="43"/>
  <c r="F126" i="43"/>
  <c r="F91" i="43"/>
  <c r="F85" i="43"/>
  <c r="F63" i="43"/>
  <c r="F59" i="43"/>
  <c r="F53" i="43"/>
  <c r="F49" i="43"/>
  <c r="F44" i="43"/>
  <c r="F43" i="43"/>
  <c r="F45" i="43" s="1"/>
  <c r="F39" i="43"/>
  <c r="F9" i="43" s="1"/>
  <c r="F34" i="43"/>
  <c r="F33" i="43"/>
  <c r="F35" i="43" s="1"/>
  <c r="F29" i="43"/>
  <c r="A11" i="43"/>
  <c r="A8" i="43"/>
  <c r="A32" i="44" l="1"/>
  <c r="A14" i="43"/>
  <c r="A18" i="43"/>
  <c r="A21" i="43"/>
  <c r="A37" i="43" s="1"/>
  <c r="A27" i="43"/>
  <c r="A31" i="43"/>
  <c r="A41" i="44" l="1"/>
  <c r="A47" i="44"/>
  <c r="A53" i="44"/>
  <c r="A41" i="43"/>
  <c r="A57" i="44" l="1"/>
  <c r="A47" i="43"/>
  <c r="A61" i="44" l="1"/>
  <c r="A51" i="43"/>
  <c r="A67" i="44" l="1"/>
  <c r="A71" i="44" s="1"/>
  <c r="A83" i="44" s="1"/>
  <c r="A90" i="44" s="1"/>
  <c r="A57" i="43"/>
  <c r="A98" i="44" l="1"/>
  <c r="A61" i="43"/>
  <c r="A81" i="43" l="1"/>
  <c r="A87" i="43" s="1"/>
  <c r="A93" i="43" s="1"/>
  <c r="A97" i="43" s="1"/>
  <c r="A101" i="43" s="1"/>
  <c r="A105" i="43" s="1"/>
  <c r="A113" i="43" s="1"/>
  <c r="A117" i="43" s="1"/>
  <c r="A121" i="43" s="1"/>
  <c r="A140" i="43" s="1"/>
  <c r="A147" i="43" s="1"/>
  <c r="A153" i="43" s="1"/>
  <c r="A159" i="43" s="1"/>
  <c r="A163" i="43" s="1"/>
  <c r="A67" i="43"/>
  <c r="A73" i="43" s="1"/>
  <c r="A77" i="43" s="1"/>
  <c r="F134" i="42"/>
  <c r="F128" i="42"/>
  <c r="F121" i="42"/>
  <c r="F115" i="42"/>
  <c r="F111" i="42"/>
  <c r="F95" i="42"/>
  <c r="F87" i="42"/>
  <c r="F81" i="42"/>
  <c r="F59" i="42"/>
  <c r="F55" i="42"/>
  <c r="F49" i="42"/>
  <c r="F45" i="42"/>
  <c r="F41" i="42"/>
  <c r="F37" i="42"/>
  <c r="F9" i="42" s="1"/>
  <c r="F33" i="42"/>
  <c r="F29" i="42"/>
  <c r="A8" i="42"/>
  <c r="A11" i="42" l="1"/>
  <c r="A14" i="42"/>
  <c r="A18" i="42"/>
  <c r="A21" i="42"/>
  <c r="A27" i="42"/>
  <c r="A31" i="42" l="1"/>
  <c r="A35" i="42" l="1"/>
  <c r="A39" i="42"/>
  <c r="A47" i="42" s="1"/>
  <c r="A43" i="42"/>
  <c r="A53" i="42" l="1"/>
  <c r="A57" i="42" l="1"/>
  <c r="A63" i="42" l="1"/>
  <c r="A69" i="42" s="1"/>
  <c r="A73" i="42" s="1"/>
  <c r="A77" i="42" s="1"/>
  <c r="A83" i="42" s="1"/>
  <c r="A89" i="42" s="1"/>
  <c r="A93" i="42" s="1"/>
  <c r="A97" i="42" s="1"/>
  <c r="A103" i="42" l="1"/>
  <c r="A107" i="42" s="1"/>
  <c r="A123" i="42" s="1"/>
  <c r="A130" i="42" s="1"/>
  <c r="A136" i="42" s="1"/>
  <c r="A142" i="42" s="1"/>
  <c r="A146" i="42" s="1"/>
  <c r="F129" i="41" l="1"/>
  <c r="F123" i="41"/>
  <c r="F116" i="41"/>
  <c r="F109" i="41"/>
  <c r="F104" i="41"/>
  <c r="F69" i="41"/>
  <c r="F63" i="41"/>
  <c r="F47" i="41"/>
  <c r="F43" i="41"/>
  <c r="F37" i="41"/>
  <c r="F33" i="41"/>
  <c r="F29" i="41"/>
  <c r="F9" i="41"/>
  <c r="A8" i="41"/>
  <c r="A11" i="41" l="1"/>
  <c r="A14" i="41"/>
  <c r="A18" i="41" s="1"/>
  <c r="A21" i="41" l="1"/>
  <c r="A27" i="41" l="1"/>
  <c r="A31" i="41" l="1"/>
  <c r="A35" i="41" l="1"/>
  <c r="A41" i="41"/>
  <c r="A45" i="41" l="1"/>
  <c r="A51" i="41" l="1"/>
  <c r="A55" i="41"/>
  <c r="A59" i="41" s="1"/>
  <c r="A65" i="41" s="1"/>
  <c r="A71" i="41" s="1"/>
  <c r="A75" i="41" s="1"/>
  <c r="A79" i="41" s="1"/>
  <c r="A83" i="41" s="1"/>
  <c r="A91" i="41" s="1"/>
  <c r="A95" i="41" s="1"/>
  <c r="A99" i="41" s="1"/>
  <c r="A118" i="41" s="1"/>
  <c r="A125" i="41" s="1"/>
  <c r="A131" i="41" s="1"/>
  <c r="A137" i="41" s="1"/>
  <c r="A141" i="41" s="1"/>
  <c r="F31" i="40"/>
  <c r="F17" i="40"/>
  <c r="F21" i="40" s="1"/>
  <c r="F16" i="40"/>
  <c r="F15" i="40"/>
  <c r="A8" i="40"/>
  <c r="A13" i="40" l="1"/>
  <c r="A19" i="40"/>
  <c r="A26" i="40"/>
  <c r="A33" i="40" l="1"/>
  <c r="A39" i="40" s="1"/>
  <c r="F44" i="39" l="1"/>
  <c r="F26" i="39"/>
  <c r="F28" i="39" s="1"/>
  <c r="F15" i="39"/>
  <c r="F19" i="39" s="1"/>
  <c r="A8" i="39"/>
  <c r="A13" i="39" l="1"/>
  <c r="A24" i="39" s="1"/>
  <c r="A17" i="39"/>
  <c r="A30" i="39" l="1"/>
  <c r="A34" i="39"/>
  <c r="A38" i="39" l="1"/>
  <c r="A42" i="39" s="1"/>
  <c r="F72" i="38"/>
  <c r="F66" i="38"/>
  <c r="F60" i="38"/>
  <c r="F62" i="38" s="1"/>
  <c r="F57" i="38"/>
  <c r="F56" i="38"/>
  <c r="F58" i="38" s="1"/>
  <c r="F38" i="38"/>
  <c r="F37" i="38"/>
  <c r="F39" i="38" s="1"/>
  <c r="F44" i="38" s="1"/>
  <c r="F26" i="38"/>
  <c r="F14" i="38"/>
  <c r="F27" i="38" s="1"/>
  <c r="A8" i="38"/>
  <c r="F28" i="38" l="1"/>
  <c r="F9" i="38" s="1"/>
  <c r="A13" i="38"/>
  <c r="A16" i="38" l="1"/>
  <c r="A22" i="38"/>
  <c r="A32" i="38" l="1"/>
  <c r="A35" i="38" l="1"/>
  <c r="A42" i="38" l="1"/>
  <c r="A47" i="38" s="1"/>
  <c r="A54" i="38" s="1"/>
  <c r="A68" i="38" l="1"/>
  <c r="A74" i="38" s="1"/>
  <c r="F177" i="37"/>
  <c r="F171" i="37"/>
  <c r="F160" i="37"/>
  <c r="F151" i="37"/>
  <c r="F131" i="37"/>
  <c r="F123" i="37"/>
  <c r="F117" i="37"/>
  <c r="F107" i="37"/>
  <c r="F88" i="37"/>
  <c r="F89" i="37" s="1"/>
  <c r="F83" i="37"/>
  <c r="F77" i="37"/>
  <c r="F73" i="37"/>
  <c r="F67" i="37"/>
  <c r="F63" i="37"/>
  <c r="F58" i="37"/>
  <c r="F57" i="37"/>
  <c r="F56" i="37"/>
  <c r="F59" i="37" s="1"/>
  <c r="F52" i="37"/>
  <c r="F9" i="37" s="1"/>
  <c r="F47" i="37"/>
  <c r="F46" i="37"/>
  <c r="F45" i="37"/>
  <c r="F48" i="37" s="1"/>
  <c r="F41" i="37"/>
  <c r="F31" i="37"/>
  <c r="A8" i="37"/>
  <c r="A11" i="37" l="1"/>
  <c r="A14" i="37"/>
  <c r="A18" i="37" l="1"/>
  <c r="A23" i="37" s="1"/>
  <c r="A39" i="37"/>
  <c r="A33" i="37"/>
  <c r="A43" i="37" l="1"/>
  <c r="A50" i="37"/>
  <c r="A54" i="37" l="1"/>
  <c r="A61" i="37"/>
  <c r="A65" i="37" s="1"/>
  <c r="A71" i="37" l="1"/>
  <c r="A75" i="37"/>
  <c r="A81" i="37" l="1"/>
  <c r="A85" i="37" s="1"/>
  <c r="A93" i="37" s="1"/>
  <c r="A97" i="37" s="1"/>
  <c r="A101" i="37" s="1"/>
  <c r="A109" i="37" s="1"/>
  <c r="A113" i="37" s="1"/>
  <c r="A119" i="37" s="1"/>
  <c r="A133" i="37" s="1"/>
  <c r="A137" i="37" s="1"/>
  <c r="A141" i="37" s="1"/>
  <c r="A173" i="37" s="1"/>
  <c r="A179" i="37" s="1"/>
  <c r="F20" i="36" l="1"/>
  <c r="A12" i="36"/>
  <c r="A18" i="36" s="1"/>
  <c r="A8" i="36"/>
  <c r="F61" i="35" l="1"/>
  <c r="F59" i="35"/>
  <c r="F45" i="35"/>
  <c r="F15" i="35"/>
  <c r="F19" i="35" s="1"/>
  <c r="F14" i="35"/>
  <c r="F13" i="35"/>
  <c r="A11" i="35"/>
  <c r="A8" i="35"/>
  <c r="A17" i="35" s="1"/>
  <c r="A22" i="35" l="1"/>
  <c r="A28" i="35" l="1"/>
  <c r="A32" i="35"/>
  <c r="A36" i="35" l="1"/>
  <c r="A41" i="35" s="1"/>
  <c r="A52" i="35" s="1"/>
  <c r="A56" i="35" l="1"/>
  <c r="F150" i="34"/>
  <c r="F128" i="34"/>
  <c r="F118" i="34"/>
  <c r="F98" i="34"/>
  <c r="F92" i="34"/>
  <c r="F81" i="34"/>
  <c r="F48" i="34"/>
  <c r="F47" i="34"/>
  <c r="F46" i="34"/>
  <c r="F36" i="34"/>
  <c r="F23" i="34"/>
  <c r="F17" i="34"/>
  <c r="F9" i="34"/>
  <c r="A8" i="34"/>
  <c r="A13" i="34" l="1"/>
  <c r="A19" i="34" l="1"/>
  <c r="A26" i="34" l="1"/>
  <c r="A30" i="34" l="1"/>
  <c r="A39" i="34" l="1"/>
  <c r="A43" i="34" l="1"/>
  <c r="A50" i="34"/>
  <c r="A56" i="34" l="1"/>
  <c r="A61" i="34" s="1"/>
  <c r="A65" i="34" s="1"/>
  <c r="F96" i="33"/>
  <c r="F57" i="33"/>
  <c r="F56" i="33"/>
  <c r="F58" i="33" s="1"/>
  <c r="F41" i="33" s="1"/>
  <c r="F12" i="33" s="1"/>
  <c r="F27" i="33"/>
  <c r="F9" i="33"/>
  <c r="A8" i="33"/>
  <c r="A69" i="34" l="1"/>
  <c r="A75" i="34" s="1"/>
  <c r="A83" i="34" s="1"/>
  <c r="A87" i="34" s="1"/>
  <c r="A94" i="34" s="1"/>
  <c r="A100" i="34" s="1"/>
  <c r="A11" i="33"/>
  <c r="A14" i="33"/>
  <c r="A134" i="34" l="1"/>
  <c r="A104" i="34"/>
  <c r="A108" i="34" s="1"/>
  <c r="A112" i="34" s="1"/>
  <c r="A121" i="34" s="1"/>
  <c r="A130" i="34" s="1"/>
  <c r="A24" i="33"/>
  <c r="A138" i="34" l="1"/>
  <c r="A144" i="34" s="1"/>
  <c r="A154" i="34" s="1"/>
  <c r="A31" i="33"/>
  <c r="A35" i="33" s="1"/>
  <c r="A39" i="33" l="1"/>
  <c r="A43" i="33" s="1"/>
  <c r="A47" i="33" l="1"/>
  <c r="A53" i="33" l="1"/>
  <c r="A62" i="33" l="1"/>
  <c r="A68" i="33" s="1"/>
  <c r="A74" i="33" s="1"/>
  <c r="A78" i="33" s="1"/>
  <c r="A82" i="33" s="1"/>
  <c r="A86" i="33" s="1"/>
  <c r="A92" i="33" s="1"/>
  <c r="A98" i="33" s="1"/>
  <c r="F97" i="32" l="1"/>
  <c r="F57" i="32"/>
  <c r="F56" i="32"/>
  <c r="F58" i="32" s="1"/>
  <c r="F41" i="32" s="1"/>
  <c r="F12" i="32" s="1"/>
  <c r="F22" i="32"/>
  <c r="F27" i="32" s="1"/>
  <c r="F9" i="32" s="1"/>
  <c r="A8" i="32"/>
  <c r="A11" i="32" l="1"/>
  <c r="A14" i="32" l="1"/>
  <c r="A20" i="32" l="1"/>
  <c r="A24" i="32" l="1"/>
  <c r="A31" i="32"/>
  <c r="A35" i="32" s="1"/>
  <c r="A39" i="32" l="1"/>
  <c r="A43" i="32"/>
  <c r="A47" i="32"/>
  <c r="A53" i="32" s="1"/>
  <c r="A62" i="32" l="1"/>
  <c r="A68" i="32" s="1"/>
  <c r="A75" i="32" s="1"/>
  <c r="A79" i="32" l="1"/>
  <c r="A83" i="32" s="1"/>
  <c r="A87" i="32" s="1"/>
  <c r="A93" i="32" s="1"/>
  <c r="A99" i="32" s="1"/>
  <c r="F116" i="31" l="1"/>
  <c r="F88" i="31"/>
  <c r="F52" i="31"/>
  <c r="F47" i="31"/>
  <c r="F64" i="31" s="1"/>
  <c r="F38" i="31"/>
  <c r="F63" i="31" s="1"/>
  <c r="F32" i="31"/>
  <c r="F9" i="31" s="1"/>
  <c r="F18" i="31"/>
  <c r="A8" i="31"/>
  <c r="F65" i="31" l="1"/>
  <c r="F42" i="31" s="1"/>
  <c r="F12" i="31" s="1"/>
  <c r="A11" i="31"/>
  <c r="A14" i="31" s="1"/>
  <c r="A25" i="31" s="1"/>
  <c r="A29" i="31" l="1"/>
  <c r="A36" i="31" s="1"/>
  <c r="A40" i="31" l="1"/>
  <c r="A44" i="31"/>
  <c r="A49" i="31" s="1"/>
  <c r="A60" i="31" s="1"/>
  <c r="A69" i="31" s="1"/>
  <c r="A76" i="31" l="1"/>
  <c r="A84" i="31"/>
  <c r="A90" i="31" l="1"/>
  <c r="A96" i="31" s="1"/>
  <c r="A100" i="31" s="1"/>
  <c r="A104" i="31" s="1"/>
  <c r="A108" i="31" s="1"/>
  <c r="A112" i="31" s="1"/>
  <c r="A118" i="31" s="1"/>
  <c r="F77" i="30" l="1"/>
  <c r="F55" i="30"/>
  <c r="F50" i="30"/>
  <c r="F67" i="30" s="1"/>
  <c r="F41" i="30"/>
  <c r="F66" i="30" s="1"/>
  <c r="F30" i="30"/>
  <c r="F35" i="30" s="1"/>
  <c r="F9" i="30" s="1"/>
  <c r="F18" i="30"/>
  <c r="A8" i="30"/>
  <c r="F68" i="30" l="1"/>
  <c r="F45" i="30" s="1"/>
  <c r="F12" i="30" s="1"/>
  <c r="A11" i="30"/>
  <c r="A14" i="30" l="1"/>
  <c r="A23" i="30" s="1"/>
  <c r="A20" i="30"/>
  <c r="A28" i="30" l="1"/>
  <c r="A32" i="30" l="1"/>
  <c r="A39" i="30" l="1"/>
  <c r="A43" i="30" l="1"/>
  <c r="A47" i="30"/>
  <c r="A52" i="30" s="1"/>
  <c r="A63" i="30" l="1"/>
  <c r="A72" i="30" s="1"/>
  <c r="A81" i="30" s="1"/>
  <c r="A88" i="30" s="1"/>
  <c r="A94" i="30" s="1"/>
  <c r="A98" i="30" s="1"/>
  <c r="A102" i="30" s="1"/>
  <c r="F38" i="29" l="1"/>
  <c r="F37" i="29"/>
  <c r="F39" i="29" s="1"/>
  <c r="A8" i="29"/>
  <c r="A13" i="29" l="1"/>
  <c r="A19" i="29" l="1"/>
  <c r="A23" i="29" l="1"/>
  <c r="A28" i="29" l="1"/>
  <c r="A34" i="29" l="1"/>
  <c r="A43" i="29" l="1"/>
  <c r="A48" i="29"/>
  <c r="A54" i="29" l="1"/>
  <c r="A58" i="29" s="1"/>
  <c r="F101" i="28"/>
  <c r="F74" i="28"/>
  <c r="F66" i="28"/>
  <c r="F52" i="28"/>
  <c r="F51" i="28"/>
  <c r="F53" i="28" s="1"/>
  <c r="F31" i="28" s="1"/>
  <c r="F9" i="28" s="1"/>
  <c r="F46" i="28"/>
  <c r="F38" i="28"/>
  <c r="A8" i="28"/>
  <c r="A13" i="28" l="1"/>
  <c r="A17" i="28" l="1"/>
  <c r="A23" i="28" l="1"/>
  <c r="A29" i="28" l="1"/>
  <c r="A33" i="28" l="1"/>
  <c r="A42" i="28"/>
  <c r="A48" i="28" l="1"/>
  <c r="A57" i="28" l="1"/>
  <c r="A62" i="28" s="1"/>
  <c r="A70" i="28"/>
  <c r="A78" i="28" s="1"/>
  <c r="A82" i="28" s="1"/>
  <c r="A86" i="28" s="1"/>
  <c r="A90" i="28" s="1"/>
  <c r="A96" i="28" s="1"/>
  <c r="A103" i="28" s="1"/>
  <c r="A109" i="28" s="1"/>
  <c r="F93" i="27" l="1"/>
  <c r="F59" i="27"/>
  <c r="F58" i="27"/>
  <c r="F60" i="27" s="1"/>
  <c r="F39" i="27" s="1"/>
  <c r="F9" i="27" s="1"/>
  <c r="F47" i="27"/>
  <c r="F34" i="27"/>
  <c r="F28" i="27"/>
  <c r="A8" i="27"/>
  <c r="A11" i="27" l="1"/>
  <c r="A17" i="27"/>
  <c r="A23" i="27" s="1"/>
  <c r="A30" i="27" l="1"/>
  <c r="A37" i="27"/>
  <c r="A41" i="27" l="1"/>
  <c r="A51" i="27"/>
  <c r="A55" i="27" l="1"/>
  <c r="A62" i="27" l="1"/>
  <c r="A68" i="27" l="1"/>
  <c r="A74" i="27" s="1"/>
  <c r="A80" i="27" s="1"/>
  <c r="A84" i="27" s="1"/>
  <c r="A88" i="27" s="1"/>
  <c r="F39" i="26" l="1"/>
  <c r="F38" i="26"/>
  <c r="F40" i="26" s="1"/>
  <c r="F22" i="26" s="1"/>
  <c r="F9" i="26" s="1"/>
  <c r="A8" i="26"/>
  <c r="A13" i="26" l="1"/>
  <c r="A20" i="26" l="1"/>
  <c r="A24" i="26" l="1"/>
  <c r="A35" i="26" s="1"/>
  <c r="A31" i="26"/>
  <c r="A44" i="26" l="1"/>
  <c r="A49" i="26" s="1"/>
  <c r="A54" i="26" l="1"/>
  <c r="A60" i="26" s="1"/>
  <c r="A64" i="26" s="1"/>
  <c r="A68" i="26" s="1"/>
  <c r="F38" i="25" l="1"/>
  <c r="F37" i="25"/>
  <c r="F39" i="25" s="1"/>
  <c r="F21" i="25" s="1"/>
  <c r="F9" i="25" s="1"/>
  <c r="A8" i="25"/>
  <c r="A13" i="25" l="1"/>
  <c r="A19" i="25" l="1"/>
  <c r="A23" i="25" l="1"/>
  <c r="A30" i="25" l="1"/>
  <c r="A34" i="25" l="1"/>
  <c r="A43" i="25" s="1"/>
  <c r="A48" i="25" s="1"/>
  <c r="A53" i="25" s="1"/>
  <c r="A59" i="25" l="1"/>
  <c r="A63" i="25" s="1"/>
  <c r="A67" i="25" s="1"/>
  <c r="F38" i="24"/>
  <c r="F37" i="24"/>
  <c r="F39" i="24" s="1"/>
  <c r="F21" i="24" s="1"/>
  <c r="F9" i="24" s="1"/>
  <c r="A8" i="24"/>
  <c r="A13" i="24" l="1"/>
  <c r="A19" i="24" s="1"/>
  <c r="A23" i="24"/>
  <c r="A30" i="24" l="1"/>
  <c r="A34" i="24" l="1"/>
  <c r="A43" i="24"/>
  <c r="A48" i="24" s="1"/>
  <c r="A54" i="24" l="1"/>
  <c r="A60" i="24"/>
  <c r="A64" i="24"/>
  <c r="A68" i="24"/>
  <c r="F38" i="23" l="1"/>
  <c r="F37" i="23"/>
  <c r="F39" i="23" s="1"/>
  <c r="F21" i="23" s="1"/>
  <c r="F9" i="23" s="1"/>
  <c r="A8" i="23"/>
  <c r="A13" i="23" l="1"/>
  <c r="A19" i="23" l="1"/>
  <c r="A23" i="23" s="1"/>
  <c r="A30" i="23" l="1"/>
  <c r="A34" i="23"/>
  <c r="A43" i="23"/>
  <c r="A48" i="23"/>
  <c r="A54" i="23" s="1"/>
  <c r="A60" i="23" l="1"/>
  <c r="A64" i="23"/>
  <c r="A68" i="23" s="1"/>
  <c r="F64" i="22" l="1"/>
  <c r="F56" i="22"/>
  <c r="F21" i="22"/>
  <c r="F22" i="22" s="1"/>
  <c r="A8" i="22"/>
  <c r="A12" i="22" l="1"/>
  <c r="A18" i="22" l="1"/>
  <c r="A26" i="22" l="1"/>
  <c r="A32" i="22"/>
  <c r="A36" i="22" l="1"/>
  <c r="A42" i="22" l="1"/>
  <c r="A51" i="22" s="1"/>
  <c r="A46" i="22" l="1"/>
  <c r="A58" i="22" s="1"/>
  <c r="A66" i="22" s="1"/>
  <c r="A72" i="22" s="1"/>
  <c r="F22" i="21" l="1"/>
  <c r="A8" i="21"/>
  <c r="A12" i="21" l="1"/>
  <c r="A29" i="21" s="1"/>
  <c r="A16" i="21"/>
  <c r="A24" i="21"/>
  <c r="F85" i="20" l="1"/>
  <c r="F81" i="20"/>
  <c r="F72" i="20"/>
  <c r="F66" i="20"/>
  <c r="F60" i="20"/>
  <c r="F49" i="20"/>
  <c r="F61" i="20" s="1"/>
  <c r="F34" i="20"/>
  <c r="F27" i="20"/>
  <c r="A9" i="20"/>
  <c r="F62" i="20" l="1"/>
  <c r="F39" i="20" s="1"/>
  <c r="F10" i="20" s="1"/>
  <c r="A14" i="20"/>
  <c r="A18" i="20"/>
  <c r="A22" i="20" l="1"/>
  <c r="A30" i="20" l="1"/>
  <c r="A37" i="20" l="1"/>
  <c r="A41" i="20" l="1"/>
  <c r="A53" i="20"/>
  <c r="A57" i="20" l="1"/>
  <c r="A64" i="20" l="1"/>
  <c r="A68" i="20" s="1"/>
  <c r="A76" i="20" l="1"/>
  <c r="A87" i="20" s="1"/>
  <c r="A90" i="20" s="1"/>
  <c r="A93" i="20" s="1"/>
  <c r="A96" i="20" s="1"/>
  <c r="A99" i="20" s="1"/>
  <c r="A102" i="20" s="1"/>
  <c r="A105" i="20" s="1"/>
  <c r="A110" i="20" s="1"/>
  <c r="A114" i="20" s="1"/>
  <c r="F218" i="19" l="1"/>
  <c r="F200" i="19"/>
  <c r="F183" i="19"/>
  <c r="F172" i="19"/>
  <c r="F159" i="19"/>
  <c r="F147" i="19"/>
  <c r="F137" i="19"/>
  <c r="F126" i="19"/>
  <c r="F121" i="19"/>
  <c r="F112" i="19"/>
  <c r="F82" i="19"/>
  <c r="F64" i="19"/>
  <c r="F55" i="19"/>
  <c r="F54" i="19"/>
  <c r="F56" i="19" s="1"/>
  <c r="F45" i="19" s="1"/>
  <c r="F13" i="19" s="1"/>
  <c r="F29" i="19"/>
  <c r="F33" i="19" s="1"/>
  <c r="A9" i="19"/>
  <c r="F10" i="19" l="1"/>
  <c r="A12" i="19"/>
  <c r="A17" i="19" l="1"/>
  <c r="A20" i="19" l="1"/>
  <c r="A24" i="19"/>
  <c r="A37" i="19" l="1"/>
  <c r="A43" i="19" l="1"/>
  <c r="A47" i="19" l="1"/>
  <c r="A51" i="19" l="1"/>
  <c r="A60" i="19" l="1"/>
  <c r="A66" i="19" s="1"/>
  <c r="A85" i="19" s="1"/>
  <c r="A89" i="19" s="1"/>
  <c r="A93" i="19" s="1"/>
  <c r="A97" i="19" s="1"/>
  <c r="A100" i="19" s="1"/>
  <c r="A128" i="19" s="1"/>
  <c r="A132" i="19" s="1"/>
  <c r="A139" i="19" s="1"/>
  <c r="A149" i="19" s="1"/>
  <c r="A152" i="19" s="1"/>
  <c r="A155" i="19" s="1"/>
  <c r="A161" i="19" s="1"/>
  <c r="A174" i="19" s="1"/>
  <c r="A179" i="19" s="1"/>
  <c r="A185" i="19" s="1"/>
  <c r="A188" i="19" s="1"/>
  <c r="A191" i="19" s="1"/>
  <c r="A194" i="19" s="1"/>
  <c r="A197" i="19" s="1"/>
  <c r="A204" i="19" s="1"/>
  <c r="A208" i="19" s="1"/>
  <c r="A214" i="19" s="1"/>
  <c r="F106" i="18" l="1"/>
  <c r="F50" i="18" s="1"/>
  <c r="F105" i="18"/>
  <c r="F107" i="18" s="1"/>
  <c r="F104" i="18"/>
  <c r="F92" i="18"/>
  <c r="F90" i="18"/>
  <c r="F88" i="18"/>
  <c r="F99" i="18" s="1"/>
  <c r="F101" i="18" s="1"/>
  <c r="F82" i="18"/>
  <c r="F61" i="18"/>
  <c r="F51" i="18" s="1"/>
  <c r="F60" i="18"/>
  <c r="F44" i="18" s="1"/>
  <c r="F59" i="18"/>
  <c r="F37" i="18" s="1"/>
  <c r="F52" i="18"/>
  <c r="F45" i="18"/>
  <c r="F38" i="18"/>
  <c r="F36" i="18"/>
  <c r="F25" i="18"/>
  <c r="F49" i="18" s="1"/>
  <c r="F53" i="18" s="1"/>
  <c r="F24" i="18"/>
  <c r="F42" i="18" s="1"/>
  <c r="F23" i="18"/>
  <c r="F35" i="18" s="1"/>
  <c r="F39" i="18" s="1"/>
  <c r="A8" i="18"/>
  <c r="F26" i="18" l="1"/>
  <c r="F71" i="18" s="1"/>
  <c r="F62" i="18"/>
  <c r="F43" i="18"/>
  <c r="F46" i="18" s="1"/>
  <c r="F54" i="18" s="1"/>
  <c r="A13" i="18"/>
  <c r="F77" i="18" l="1"/>
  <c r="F72" i="18"/>
  <c r="F73" i="18" s="1"/>
  <c r="F30" i="18" s="1"/>
  <c r="F9" i="18" s="1"/>
  <c r="F66" i="18"/>
  <c r="A17" i="18"/>
  <c r="A21" i="18" l="1"/>
  <c r="A28" i="18" l="1"/>
  <c r="A32" i="18"/>
  <c r="A56" i="18" s="1"/>
  <c r="A64" i="18" l="1"/>
  <c r="A68" i="18" s="1"/>
  <c r="A75" i="18" l="1"/>
  <c r="A79" i="18" s="1"/>
  <c r="A86" i="18" l="1"/>
  <c r="A97" i="18" s="1"/>
  <c r="A103" i="18" s="1"/>
  <c r="F159" i="17" l="1"/>
  <c r="F156" i="17"/>
  <c r="F138" i="17"/>
  <c r="F132" i="17"/>
  <c r="F122" i="17"/>
  <c r="F121" i="17"/>
  <c r="F120" i="17"/>
  <c r="F115" i="17"/>
  <c r="F79" i="17" s="1"/>
  <c r="F114" i="17"/>
  <c r="F73" i="17" s="1"/>
  <c r="F107" i="17"/>
  <c r="F108" i="17" s="1"/>
  <c r="F106" i="17"/>
  <c r="F86" i="17"/>
  <c r="F78" i="17"/>
  <c r="F72" i="17"/>
  <c r="F67" i="17"/>
  <c r="F66" i="17"/>
  <c r="F65" i="17"/>
  <c r="F64" i="17"/>
  <c r="F68" i="17" s="1"/>
  <c r="F54" i="17"/>
  <c r="F71" i="17" s="1"/>
  <c r="F53" i="17"/>
  <c r="F55" i="17" s="1"/>
  <c r="F49" i="17"/>
  <c r="F77" i="17" s="1"/>
  <c r="F80" i="17" s="1"/>
  <c r="F34" i="17"/>
  <c r="F30" i="17"/>
  <c r="F29" i="17"/>
  <c r="F31" i="17" s="1"/>
  <c r="F24" i="17"/>
  <c r="A16" i="17"/>
  <c r="A11" i="17"/>
  <c r="A8" i="17"/>
  <c r="F35" i="17" l="1"/>
  <c r="F9" i="17"/>
  <c r="F74" i="17"/>
  <c r="F81" i="17" s="1"/>
  <c r="A23" i="17"/>
  <c r="A26" i="17"/>
  <c r="F116" i="17"/>
  <c r="A20" i="17"/>
  <c r="F96" i="17" l="1"/>
  <c r="F97" i="17" s="1"/>
  <c r="F59" i="17" s="1"/>
  <c r="F12" i="17" s="1"/>
  <c r="F101" i="17"/>
  <c r="F90" i="17"/>
  <c r="A39" i="17"/>
  <c r="A43" i="17"/>
  <c r="A47" i="17" l="1"/>
  <c r="A51" i="17"/>
  <c r="A57" i="17" l="1"/>
  <c r="A61" i="17"/>
  <c r="A83" i="17" l="1"/>
  <c r="A88" i="17" l="1"/>
  <c r="A92" i="17" l="1"/>
  <c r="A99" i="17"/>
  <c r="A103" i="17" s="1"/>
  <c r="A112" i="17" s="1"/>
  <c r="A118" i="17" s="1"/>
  <c r="A124" i="17" s="1"/>
  <c r="A128" i="17" s="1"/>
  <c r="A134" i="17" l="1"/>
  <c r="A140" i="17" s="1"/>
  <c r="A144" i="17" s="1"/>
  <c r="A148" i="17" s="1"/>
  <c r="A154" i="17" s="1"/>
  <c r="A158" i="17" s="1"/>
  <c r="F122" i="16" l="1"/>
  <c r="F119" i="16"/>
  <c r="F115" i="16"/>
  <c r="F107" i="16"/>
  <c r="F97" i="16"/>
  <c r="F93" i="16"/>
  <c r="F58" i="16" s="1"/>
  <c r="F86" i="16"/>
  <c r="F85" i="16"/>
  <c r="F87" i="16" s="1"/>
  <c r="F65" i="16"/>
  <c r="F51" i="16" s="1"/>
  <c r="F57" i="16"/>
  <c r="F52" i="16"/>
  <c r="F50" i="16"/>
  <c r="F49" i="16"/>
  <c r="F40" i="16"/>
  <c r="F36" i="16"/>
  <c r="F56" i="16" s="1"/>
  <c r="F22" i="16"/>
  <c r="F9" i="16" s="1"/>
  <c r="A8" i="16"/>
  <c r="F53" i="16" l="1"/>
  <c r="F59" i="16"/>
  <c r="F74" i="16"/>
  <c r="A11" i="16"/>
  <c r="F60" i="16" l="1"/>
  <c r="A16" i="16"/>
  <c r="A20" i="16"/>
  <c r="A26" i="16" l="1"/>
  <c r="A30" i="16"/>
  <c r="A34" i="16"/>
  <c r="A38" i="16" s="1"/>
  <c r="F75" i="16"/>
  <c r="F76" i="16" s="1"/>
  <c r="F44" i="16" s="1"/>
  <c r="F12" i="16" s="1"/>
  <c r="F80" i="16"/>
  <c r="F69" i="16"/>
  <c r="A42" i="16" l="1"/>
  <c r="A46" i="16"/>
  <c r="A62" i="16" l="1"/>
  <c r="A67" i="16" l="1"/>
  <c r="A71" i="16" l="1"/>
  <c r="A78" i="16"/>
  <c r="A82" i="16" s="1"/>
  <c r="A91" i="16" s="1"/>
  <c r="A95" i="16" s="1"/>
  <c r="A99" i="16" s="1"/>
  <c r="A103" i="16" s="1"/>
  <c r="A109" i="16" s="1"/>
  <c r="A113" i="16" s="1"/>
  <c r="A117" i="16" s="1"/>
  <c r="A121" i="16" s="1"/>
  <c r="F125" i="15" l="1"/>
  <c r="F124" i="15"/>
  <c r="F123" i="15"/>
  <c r="F119" i="15"/>
  <c r="F114" i="15"/>
  <c r="F113" i="15"/>
  <c r="F112" i="15"/>
  <c r="F115" i="15" s="1"/>
  <c r="F106" i="15"/>
  <c r="F105" i="15"/>
  <c r="F107" i="15" s="1"/>
  <c r="F99" i="15"/>
  <c r="F98" i="15"/>
  <c r="F100" i="15" s="1"/>
  <c r="F93" i="15"/>
  <c r="F92" i="15"/>
  <c r="F94" i="15" s="1"/>
  <c r="F88" i="15"/>
  <c r="F81" i="15"/>
  <c r="F55" i="15"/>
  <c r="F71" i="15" s="1"/>
  <c r="F51" i="15"/>
  <c r="F70" i="15" s="1"/>
  <c r="F72" i="15" s="1"/>
  <c r="F61" i="15" s="1"/>
  <c r="F12" i="15" s="1"/>
  <c r="F43" i="15"/>
  <c r="F42" i="15"/>
  <c r="F41" i="15"/>
  <c r="F40" i="15"/>
  <c r="F44" i="15" s="1"/>
  <c r="F25" i="15"/>
  <c r="F28" i="15" s="1"/>
  <c r="F20" i="15"/>
  <c r="F36" i="15" s="1"/>
  <c r="F19" i="15"/>
  <c r="F35" i="15" s="1"/>
  <c r="F18" i="15"/>
  <c r="F34" i="15" s="1"/>
  <c r="F17" i="15"/>
  <c r="F33" i="15" s="1"/>
  <c r="A8" i="15"/>
  <c r="F37" i="15" l="1"/>
  <c r="A11" i="15"/>
  <c r="F65" i="15"/>
  <c r="F76" i="15"/>
  <c r="A16" i="15"/>
  <c r="F21" i="15"/>
  <c r="A23" i="15"/>
  <c r="A30" i="15"/>
  <c r="A49" i="15" l="1"/>
  <c r="F9" i="15"/>
  <c r="F45" i="15"/>
  <c r="A53" i="15" l="1"/>
  <c r="A59" i="15" l="1"/>
  <c r="A63" i="15"/>
  <c r="A67" i="15"/>
  <c r="A74" i="15" l="1"/>
  <c r="A80" i="15" s="1"/>
  <c r="A85" i="15" s="1"/>
  <c r="A90" i="15" l="1"/>
  <c r="A96" i="15" s="1"/>
  <c r="A102" i="15" s="1"/>
  <c r="A111" i="15" s="1"/>
  <c r="A117" i="15" s="1"/>
  <c r="A121" i="15" s="1"/>
  <c r="F86" i="14" l="1"/>
  <c r="F85" i="14"/>
  <c r="F87" i="14" s="1"/>
  <c r="F82" i="14"/>
  <c r="F81" i="14"/>
  <c r="F83" i="14" s="1"/>
  <c r="F42" i="14" s="1"/>
  <c r="F75" i="14"/>
  <c r="F71" i="14"/>
  <c r="F62" i="14"/>
  <c r="F50" i="14"/>
  <c r="F24" i="14"/>
  <c r="F23" i="14"/>
  <c r="F25" i="14" s="1"/>
  <c r="F22" i="14"/>
  <c r="F18" i="14"/>
  <c r="F17" i="14"/>
  <c r="F16" i="14"/>
  <c r="F15" i="14"/>
  <c r="A8" i="14"/>
  <c r="F9" i="14" l="1"/>
  <c r="F29" i="14"/>
  <c r="F33" i="14"/>
  <c r="A13" i="14"/>
  <c r="A20" i="14"/>
  <c r="A27" i="14" l="1"/>
  <c r="F38" i="14"/>
  <c r="F46" i="14"/>
  <c r="A36" i="14" l="1"/>
  <c r="A31" i="14"/>
  <c r="A40" i="14" l="1"/>
  <c r="A44" i="14" l="1"/>
  <c r="A48" i="14" s="1"/>
  <c r="A52" i="14" s="1"/>
  <c r="A58" i="14" l="1"/>
  <c r="A66" i="14" s="1"/>
  <c r="A79" i="14" s="1"/>
  <c r="F108" i="13" l="1"/>
  <c r="F103" i="13"/>
  <c r="F99" i="13"/>
  <c r="F94" i="13"/>
  <c r="F89" i="13"/>
  <c r="F88" i="13"/>
  <c r="F90" i="13" s="1"/>
  <c r="F82" i="13"/>
  <c r="F79" i="13"/>
  <c r="F72" i="13"/>
  <c r="F70" i="13"/>
  <c r="F66" i="13"/>
  <c r="F55" i="13"/>
  <c r="F39" i="13"/>
  <c r="F49" i="13" s="1"/>
  <c r="F35" i="13"/>
  <c r="F54" i="13" s="1"/>
  <c r="F56" i="13" s="1"/>
  <c r="F45" i="13" s="1"/>
  <c r="F12" i="13" s="1"/>
  <c r="F28" i="13"/>
  <c r="F25" i="13"/>
  <c r="F17" i="13"/>
  <c r="A11" i="13"/>
  <c r="A8" i="13"/>
  <c r="F60" i="13" l="1"/>
  <c r="F29" i="13"/>
  <c r="A16" i="13"/>
  <c r="F9" i="13"/>
  <c r="A19" i="13"/>
  <c r="A22" i="13" l="1"/>
  <c r="A33" i="13" l="1"/>
  <c r="A37" i="13" l="1"/>
  <c r="A43" i="13" s="1"/>
  <c r="A47" i="13" s="1"/>
  <c r="A51" i="13" l="1"/>
  <c r="A58" i="13" l="1"/>
  <c r="A64" i="13" s="1"/>
  <c r="A68" i="13" s="1"/>
  <c r="A76" i="13" s="1"/>
  <c r="A86" i="13" s="1"/>
  <c r="A92" i="13" s="1"/>
  <c r="A96" i="13" s="1"/>
  <c r="A101" i="13" s="1"/>
  <c r="A107" i="13" s="1"/>
  <c r="F203" i="12" l="1"/>
  <c r="F199" i="12"/>
  <c r="F194" i="12"/>
  <c r="F192" i="12"/>
  <c r="F190" i="12"/>
  <c r="F195" i="12" s="1"/>
  <c r="F185" i="12"/>
  <c r="F180" i="12"/>
  <c r="F173" i="12"/>
  <c r="F186" i="12" s="1"/>
  <c r="F164" i="12"/>
  <c r="F160" i="12"/>
  <c r="F156" i="12"/>
  <c r="F152" i="12"/>
  <c r="F146" i="12"/>
  <c r="F145" i="12"/>
  <c r="F147" i="12" s="1"/>
  <c r="F140" i="12"/>
  <c r="F139" i="12"/>
  <c r="F141" i="12" s="1"/>
  <c r="F148" i="12" s="1"/>
  <c r="F135" i="12"/>
  <c r="F123" i="12"/>
  <c r="F109" i="12"/>
  <c r="F100" i="12"/>
  <c r="F99" i="12"/>
  <c r="F98" i="12"/>
  <c r="F101" i="12" s="1"/>
  <c r="F97" i="12"/>
  <c r="F96" i="12"/>
  <c r="F92" i="12"/>
  <c r="F88" i="12"/>
  <c r="F87" i="12"/>
  <c r="F86" i="12"/>
  <c r="F85" i="12"/>
  <c r="F84" i="12"/>
  <c r="F83" i="12"/>
  <c r="F82" i="12"/>
  <c r="F89" i="12" s="1"/>
  <c r="F118" i="12" s="1"/>
  <c r="F78" i="12"/>
  <c r="F70" i="12"/>
  <c r="F69" i="12"/>
  <c r="F68" i="12"/>
  <c r="F67" i="12"/>
  <c r="F66" i="12"/>
  <c r="F71" i="12" s="1"/>
  <c r="F62" i="12"/>
  <c r="F57" i="12"/>
  <c r="F49" i="12"/>
  <c r="F48" i="12"/>
  <c r="F50" i="12" s="1"/>
  <c r="F54" i="12" s="1"/>
  <c r="F43" i="12"/>
  <c r="F32" i="12"/>
  <c r="F60" i="12" s="1"/>
  <c r="F28" i="12"/>
  <c r="F25" i="12"/>
  <c r="F61" i="12" s="1"/>
  <c r="F24" i="12"/>
  <c r="F59" i="12" s="1"/>
  <c r="F22" i="12"/>
  <c r="F58" i="12" s="1"/>
  <c r="F19" i="12"/>
  <c r="F53" i="12" s="1"/>
  <c r="F18" i="12"/>
  <c r="F17" i="12"/>
  <c r="F12" i="12"/>
  <c r="A8" i="12"/>
  <c r="A11" i="12" s="1"/>
  <c r="F127" i="12" l="1"/>
  <c r="F113" i="12"/>
  <c r="F119" i="12"/>
  <c r="F120" i="12"/>
  <c r="F107" i="12" s="1"/>
  <c r="A31" i="12"/>
  <c r="A34" i="12"/>
  <c r="F63" i="12"/>
  <c r="F20" i="12"/>
  <c r="F29" i="12" s="1"/>
  <c r="F26" i="12"/>
  <c r="A16" i="12"/>
  <c r="A37" i="12" l="1"/>
  <c r="F72" i="12"/>
  <c r="F9" i="12"/>
  <c r="A45" i="12"/>
  <c r="A76" i="12" l="1"/>
  <c r="A80" i="12"/>
  <c r="A94" i="12" l="1"/>
  <c r="A105" i="12" l="1"/>
  <c r="A111" i="12"/>
  <c r="A115" i="12" s="1"/>
  <c r="A125" i="12" l="1"/>
  <c r="A131" i="12" s="1"/>
  <c r="A150" i="12" l="1"/>
  <c r="A154" i="12" s="1"/>
  <c r="A158" i="12" s="1"/>
  <c r="A162" i="12" s="1"/>
  <c r="A168" i="12" s="1"/>
  <c r="A188" i="12" s="1"/>
  <c r="A197" i="12" s="1"/>
  <c r="A201" i="12" s="1"/>
  <c r="F177" i="11" l="1"/>
  <c r="F173" i="11"/>
  <c r="F167" i="11"/>
  <c r="F163" i="11"/>
  <c r="F162" i="11"/>
  <c r="F161" i="11"/>
  <c r="F164" i="11" s="1"/>
  <c r="F157" i="11"/>
  <c r="F156" i="11"/>
  <c r="F158" i="11" s="1"/>
  <c r="F152" i="11"/>
  <c r="F151" i="11"/>
  <c r="F150" i="11"/>
  <c r="F153" i="11" s="1"/>
  <c r="F146" i="11"/>
  <c r="F145" i="11"/>
  <c r="F144" i="11"/>
  <c r="F147" i="11" s="1"/>
  <c r="F168" i="11" s="1"/>
  <c r="F136" i="11"/>
  <c r="F128" i="11"/>
  <c r="F137" i="11" s="1"/>
  <c r="F123" i="11"/>
  <c r="F115" i="11"/>
  <c r="F105" i="11"/>
  <c r="F74" i="11"/>
  <c r="F73" i="11"/>
  <c r="F72" i="11"/>
  <c r="F75" i="11" s="1"/>
  <c r="F67" i="11"/>
  <c r="F63" i="11"/>
  <c r="F62" i="11"/>
  <c r="F61" i="11"/>
  <c r="F64" i="11" s="1"/>
  <c r="F57" i="11"/>
  <c r="F56" i="11"/>
  <c r="F58" i="11" s="1"/>
  <c r="F52" i="11"/>
  <c r="F53" i="11" s="1"/>
  <c r="F51" i="11"/>
  <c r="F50" i="11"/>
  <c r="F46" i="11"/>
  <c r="F45" i="11"/>
  <c r="F44" i="11"/>
  <c r="F47" i="11" s="1"/>
  <c r="F68" i="11" s="1"/>
  <c r="F90" i="11" s="1"/>
  <c r="F35" i="11"/>
  <c r="F34" i="11"/>
  <c r="F36" i="11" s="1"/>
  <c r="F30" i="11"/>
  <c r="F29" i="11"/>
  <c r="F31" i="11" s="1"/>
  <c r="F24" i="11"/>
  <c r="F18" i="11"/>
  <c r="F17" i="11"/>
  <c r="F19" i="11" s="1"/>
  <c r="A11" i="11"/>
  <c r="A8" i="11"/>
  <c r="F96" i="11" l="1"/>
  <c r="F91" i="11"/>
  <c r="F85" i="11"/>
  <c r="F9" i="11"/>
  <c r="F37" i="11"/>
  <c r="F92" i="11"/>
  <c r="F81" i="11" s="1"/>
  <c r="F12" i="11" s="1"/>
  <c r="A16" i="11"/>
  <c r="A21" i="11"/>
  <c r="A26" i="11" l="1"/>
  <c r="A41" i="11"/>
  <c r="A70" i="11" l="1"/>
  <c r="A79" i="11" l="1"/>
  <c r="A83" i="11" l="1"/>
  <c r="A94" i="11" s="1"/>
  <c r="A100" i="11" s="1"/>
  <c r="A87" i="11"/>
  <c r="A107" i="11" s="1"/>
  <c r="A110" i="11" l="1"/>
  <c r="A119" i="11" s="1"/>
  <c r="A141" i="11" l="1"/>
  <c r="A172" i="11" s="1"/>
  <c r="F110" i="10" l="1"/>
  <c r="F102" i="10"/>
  <c r="F105" i="10" s="1"/>
  <c r="F95" i="10"/>
  <c r="F94" i="10"/>
  <c r="F93" i="10"/>
  <c r="F96" i="10" s="1"/>
  <c r="F88" i="10"/>
  <c r="F82" i="10"/>
  <c r="F81" i="10"/>
  <c r="F80" i="10"/>
  <c r="F79" i="10"/>
  <c r="F78" i="10"/>
  <c r="F77" i="10"/>
  <c r="F71" i="10"/>
  <c r="F70" i="10"/>
  <c r="F69" i="10"/>
  <c r="F68" i="10"/>
  <c r="F67" i="10"/>
  <c r="F72" i="10" s="1"/>
  <c r="F59" i="10"/>
  <c r="F58" i="10"/>
  <c r="F57" i="10"/>
  <c r="F60" i="10" s="1"/>
  <c r="F53" i="10"/>
  <c r="F49" i="10"/>
  <c r="F9" i="10" s="1"/>
  <c r="F38" i="10"/>
  <c r="F19" i="10"/>
  <c r="F18" i="10"/>
  <c r="F17" i="10"/>
  <c r="F16" i="10"/>
  <c r="F15" i="10"/>
  <c r="F20" i="10" s="1"/>
  <c r="A8" i="10"/>
  <c r="F29" i="9"/>
  <c r="A7" i="9"/>
  <c r="A13" i="10" l="1"/>
  <c r="A22" i="10"/>
  <c r="A13" i="9"/>
  <c r="A25" i="9" s="1"/>
  <c r="A19" i="9"/>
  <c r="A36" i="10" l="1"/>
  <c r="F72" i="8"/>
  <c r="F60" i="8"/>
  <c r="F9" i="8" s="1"/>
  <c r="F54" i="8"/>
  <c r="F41" i="8"/>
  <c r="F37" i="8"/>
  <c r="F28" i="8"/>
  <c r="F27" i="8"/>
  <c r="F29" i="8" s="1"/>
  <c r="F23" i="8"/>
  <c r="F19" i="8"/>
  <c r="A8" i="8"/>
  <c r="A40" i="10" l="1"/>
  <c r="A51" i="10"/>
  <c r="F64" i="8"/>
  <c r="A13" i="8"/>
  <c r="A17" i="8"/>
  <c r="A21" i="8"/>
  <c r="A55" i="10" l="1"/>
  <c r="A64" i="10"/>
  <c r="A25" i="8"/>
  <c r="A74" i="10" l="1"/>
  <c r="A31" i="8"/>
  <c r="A35" i="8"/>
  <c r="A85" i="10" l="1"/>
  <c r="A90" i="10"/>
  <c r="A99" i="10" s="1"/>
  <c r="A107" i="10" s="1"/>
  <c r="A114" i="10" s="1"/>
  <c r="A118" i="10" s="1"/>
  <c r="A122" i="10" s="1"/>
  <c r="A128" i="10" s="1"/>
  <c r="A134" i="10" s="1"/>
  <c r="A139" i="10" s="1"/>
  <c r="A160" i="10" s="1"/>
  <c r="A39" i="8"/>
  <c r="A45" i="8"/>
  <c r="A49" i="8" s="1"/>
  <c r="A58" i="8" s="1"/>
  <c r="A165" i="10" l="1"/>
  <c r="A170" i="10" s="1"/>
  <c r="A175" i="10" s="1"/>
  <c r="A180" i="10" s="1"/>
  <c r="A185" i="10" s="1"/>
  <c r="A193" i="10" s="1"/>
  <c r="A230" i="10" s="1"/>
  <c r="A62" i="8"/>
  <c r="A68" i="8" s="1"/>
  <c r="A78" i="8" s="1"/>
  <c r="A88" i="8" s="1"/>
  <c r="F416" i="7" l="1"/>
  <c r="F408" i="7" s="1"/>
  <c r="F412" i="7"/>
  <c r="F402" i="7"/>
  <c r="F394" i="7"/>
  <c r="F391" i="7"/>
  <c r="F390" i="7"/>
  <c r="F386" i="7"/>
  <c r="F383" i="7"/>
  <c r="F378" i="7"/>
  <c r="F377" i="7"/>
  <c r="F376" i="7"/>
  <c r="F375" i="7"/>
  <c r="F357" i="7"/>
  <c r="F335" i="7"/>
  <c r="F327" i="7"/>
  <c r="F323" i="7"/>
  <c r="F317" i="7"/>
  <c r="F310" i="7"/>
  <c r="F306" i="7"/>
  <c r="F304" i="7"/>
  <c r="F300" i="7"/>
  <c r="F271" i="7"/>
  <c r="F259" i="7"/>
  <c r="F258" i="7"/>
  <c r="F257" i="7"/>
  <c r="F256" i="7"/>
  <c r="F255" i="7"/>
  <c r="F253" i="7"/>
  <c r="F252" i="7"/>
  <c r="F251" i="7"/>
  <c r="F250" i="7"/>
  <c r="F247" i="7"/>
  <c r="F246" i="7"/>
  <c r="F245" i="7"/>
  <c r="F242" i="7"/>
  <c r="F241" i="7"/>
  <c r="F243" i="7" s="1"/>
  <c r="F227" i="7"/>
  <c r="F218" i="7" s="1"/>
  <c r="F210" i="7"/>
  <c r="F204" i="7"/>
  <c r="F191" i="7"/>
  <c r="F216" i="7" s="1"/>
  <c r="F235" i="7" s="1"/>
  <c r="F169" i="7"/>
  <c r="F177" i="7" s="1"/>
  <c r="F181" i="7" s="1"/>
  <c r="F185" i="7" s="1"/>
  <c r="F163" i="7"/>
  <c r="F45" i="7" s="1"/>
  <c r="F153" i="7"/>
  <c r="F149" i="7"/>
  <c r="F134" i="7"/>
  <c r="F129" i="7"/>
  <c r="F128" i="7"/>
  <c r="F127" i="7"/>
  <c r="F126" i="7"/>
  <c r="F125" i="7"/>
  <c r="F124" i="7"/>
  <c r="F123" i="7"/>
  <c r="F122" i="7"/>
  <c r="F121" i="7"/>
  <c r="F120" i="7"/>
  <c r="F118" i="7"/>
  <c r="F117" i="7"/>
  <c r="F116" i="7"/>
  <c r="F115" i="7"/>
  <c r="F114" i="7"/>
  <c r="F110" i="7"/>
  <c r="F109" i="7"/>
  <c r="F111" i="7" s="1"/>
  <c r="F106" i="7"/>
  <c r="F85" i="7"/>
  <c r="F77" i="7"/>
  <c r="F64" i="7"/>
  <c r="F65" i="7" s="1"/>
  <c r="F54" i="7"/>
  <c r="F42" i="7"/>
  <c r="A8" i="7"/>
  <c r="A38" i="7" l="1"/>
  <c r="F392" i="7"/>
  <c r="F379" i="7"/>
  <c r="F119" i="7"/>
  <c r="F231" i="7"/>
  <c r="F260" i="7"/>
  <c r="F248" i="7"/>
  <c r="F39" i="7"/>
  <c r="F219" i="7"/>
  <c r="A41" i="7"/>
  <c r="A44" i="7" s="1"/>
  <c r="A49" i="7" s="1"/>
  <c r="A56" i="7" s="1"/>
  <c r="F223" i="7"/>
  <c r="F173" i="7"/>
  <c r="F135" i="7" l="1"/>
  <c r="A60" i="7"/>
  <c r="A67" i="7" l="1"/>
  <c r="A73" i="7" s="1"/>
  <c r="A79" i="7" l="1"/>
  <c r="A90" i="7"/>
  <c r="A94" i="7" l="1"/>
  <c r="A100" i="7" s="1"/>
  <c r="A103" i="7" l="1"/>
  <c r="A137" i="7" s="1"/>
  <c r="A141" i="7" s="1"/>
  <c r="A145" i="7" l="1"/>
  <c r="A157" i="7" s="1"/>
  <c r="A161" i="7" l="1"/>
  <c r="A167" i="7" l="1"/>
  <c r="A171" i="7" s="1"/>
  <c r="A175" i="7" s="1"/>
  <c r="A179" i="7" s="1"/>
  <c r="A183" i="7" s="1"/>
  <c r="A189" i="7" s="1"/>
  <c r="A193" i="7" s="1"/>
  <c r="A197" i="7" s="1"/>
  <c r="A202" i="7" s="1"/>
  <c r="A206" i="7" s="1"/>
  <c r="A214" i="7" s="1"/>
  <c r="A221" i="7" s="1"/>
  <c r="A225" i="7" s="1"/>
  <c r="A229" i="7" s="1"/>
  <c r="A233" i="7" s="1"/>
  <c r="A239" i="7" s="1"/>
  <c r="A269" i="7" s="1"/>
  <c r="A294" i="7" s="1"/>
  <c r="A302" i="7" s="1"/>
  <c r="A308" i="7" s="1"/>
  <c r="A312" i="7" s="1"/>
  <c r="A319" i="7" s="1"/>
  <c r="A329" i="7" s="1"/>
  <c r="A337" i="7" s="1"/>
  <c r="A340" i="7" s="1"/>
  <c r="A360" i="7" s="1"/>
  <c r="A364" i="7" s="1"/>
  <c r="A368" i="7" s="1"/>
  <c r="A374" i="7" s="1"/>
  <c r="A381" i="7" s="1"/>
  <c r="A385" i="7" s="1"/>
  <c r="A388" i="7" s="1"/>
  <c r="A396" i="7" s="1"/>
  <c r="A400" i="7" s="1"/>
  <c r="A406" i="7" s="1"/>
  <c r="A410" i="7" s="1"/>
  <c r="A414" i="7" s="1"/>
  <c r="A421" i="7" s="1"/>
  <c r="A425" i="7" s="1"/>
  <c r="F440" i="6" l="1"/>
  <c r="F439" i="6"/>
  <c r="F441" i="6" s="1"/>
  <c r="F434" i="6"/>
  <c r="F428" i="6"/>
  <c r="F427" i="6"/>
  <c r="F429" i="6" s="1"/>
  <c r="F425" i="6"/>
  <c r="F430" i="6" s="1"/>
  <c r="F414" i="6"/>
  <c r="F409" i="6"/>
  <c r="F405" i="6"/>
  <c r="F399" i="6"/>
  <c r="F389" i="6"/>
  <c r="F387" i="6"/>
  <c r="F386" i="6"/>
  <c r="F385" i="6"/>
  <c r="F380" i="6"/>
  <c r="F379" i="6"/>
  <c r="F378" i="6"/>
  <c r="F381" i="6" s="1"/>
  <c r="F375" i="6"/>
  <c r="F366" i="6"/>
  <c r="F344" i="6"/>
  <c r="F340" i="6"/>
  <c r="F346" i="6" s="1"/>
  <c r="F323" i="6"/>
  <c r="F313" i="6"/>
  <c r="F304" i="6"/>
  <c r="F300" i="6"/>
  <c r="F298" i="6"/>
  <c r="F290" i="6"/>
  <c r="F274" i="6"/>
  <c r="F271" i="6"/>
  <c r="F270" i="6"/>
  <c r="F269" i="6"/>
  <c r="F272" i="6" s="1"/>
  <c r="F259" i="6"/>
  <c r="F254" i="6"/>
  <c r="F253" i="6"/>
  <c r="F251" i="6"/>
  <c r="F233" i="6"/>
  <c r="F227" i="6"/>
  <c r="F252" i="6" s="1"/>
  <c r="F255" i="6" s="1"/>
  <c r="F241" i="6" s="1"/>
  <c r="F56" i="6" s="1"/>
  <c r="F222" i="6"/>
  <c r="F217" i="6"/>
  <c r="F218" i="6" s="1"/>
  <c r="F212" i="6"/>
  <c r="F239" i="6" s="1"/>
  <c r="F190" i="6"/>
  <c r="F198" i="6" s="1"/>
  <c r="F202" i="6" s="1"/>
  <c r="F206" i="6" s="1"/>
  <c r="F184" i="6"/>
  <c r="F156" i="6"/>
  <c r="F155" i="6"/>
  <c r="F157" i="6" s="1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2" i="6"/>
  <c r="F131" i="6"/>
  <c r="F130" i="6"/>
  <c r="F129" i="6"/>
  <c r="F128" i="6"/>
  <c r="F133" i="6" s="1"/>
  <c r="F123" i="6"/>
  <c r="F115" i="6"/>
  <c r="F107" i="6"/>
  <c r="F101" i="6"/>
  <c r="F82" i="6"/>
  <c r="F64" i="6"/>
  <c r="F136" i="6" s="1"/>
  <c r="F151" i="6" s="1"/>
  <c r="F53" i="6" s="1"/>
  <c r="F59" i="6"/>
  <c r="A8" i="6"/>
  <c r="F246" i="6" l="1"/>
  <c r="F242" i="6"/>
  <c r="F263" i="6"/>
  <c r="F158" i="6"/>
  <c r="A52" i="6"/>
  <c r="F194" i="6"/>
  <c r="A63" i="6" l="1"/>
  <c r="A58" i="6"/>
  <c r="A55" i="6"/>
  <c r="A66" i="6" l="1"/>
  <c r="A69" i="6"/>
  <c r="A73" i="6" l="1"/>
  <c r="A77" i="6" l="1"/>
  <c r="A84" i="6" l="1"/>
  <c r="A90" i="6" l="1"/>
  <c r="A94" i="6"/>
  <c r="A103" i="6" s="1"/>
  <c r="A109" i="6" s="1"/>
  <c r="A117" i="6" s="1"/>
  <c r="A120" i="6" s="1"/>
  <c r="A125" i="6" s="1"/>
  <c r="A160" i="6" s="1"/>
  <c r="A164" i="6" s="1"/>
  <c r="A168" i="6" s="1"/>
  <c r="A178" i="6" s="1"/>
  <c r="A182" i="6" s="1"/>
  <c r="A188" i="6" s="1"/>
  <c r="A192" i="6" s="1"/>
  <c r="A196" i="6" s="1"/>
  <c r="A200" i="6" s="1"/>
  <c r="A204" i="6" s="1"/>
  <c r="A210" i="6" s="1"/>
  <c r="A214" i="6" s="1"/>
  <c r="A220" i="6" s="1"/>
  <c r="A224" i="6" s="1"/>
  <c r="A229" i="6" s="1"/>
  <c r="A237" i="6" s="1"/>
  <c r="A244" i="6" s="1"/>
  <c r="A248" i="6" s="1"/>
  <c r="A257" i="6" s="1"/>
  <c r="A261" i="6" s="1"/>
  <c r="A267" i="6" l="1"/>
  <c r="A282" i="6" s="1"/>
  <c r="A288" i="6" s="1"/>
  <c r="A292" i="6" s="1"/>
  <c r="A296" i="6" s="1"/>
  <c r="A302" i="6" s="1"/>
  <c r="A306" i="6" s="1"/>
  <c r="A309" i="6" s="1"/>
  <c r="A319" i="6" s="1"/>
  <c r="A325" i="6" s="1"/>
  <c r="A329" i="6" s="1"/>
  <c r="A335" i="6" s="1"/>
  <c r="A348" i="6" s="1"/>
  <c r="A356" i="6" s="1"/>
  <c r="A362" i="6" s="1"/>
  <c r="A368" i="6" s="1"/>
  <c r="A374" i="6" s="1"/>
  <c r="A377" i="6" s="1"/>
  <c r="A383" i="6" s="1"/>
  <c r="A391" i="6" s="1"/>
  <c r="A397" i="6" s="1"/>
  <c r="A403" i="6" s="1"/>
  <c r="A407" i="6" s="1"/>
  <c r="A411" i="6" s="1"/>
  <c r="A416" i="6" s="1"/>
  <c r="A422" i="6" s="1"/>
  <c r="A432" i="6" s="1"/>
  <c r="A436" i="6" s="1"/>
  <c r="F167" i="199" l="1"/>
  <c r="F163" i="199"/>
  <c r="F158" i="199"/>
  <c r="F148" i="199"/>
  <c r="F145" i="199"/>
  <c r="F140" i="199"/>
  <c r="F138" i="199"/>
  <c r="F124" i="199"/>
  <c r="F112" i="199"/>
  <c r="F105" i="199"/>
  <c r="F104" i="199"/>
  <c r="F106" i="199" s="1"/>
  <c r="F85" i="199"/>
  <c r="F79" i="199"/>
  <c r="F77" i="199"/>
  <c r="F74" i="199"/>
  <c r="F73" i="199"/>
  <c r="F75" i="199" s="1"/>
  <c r="F70" i="199"/>
  <c r="F67" i="199"/>
  <c r="F66" i="199"/>
  <c r="F65" i="199"/>
  <c r="F64" i="199"/>
  <c r="F58" i="199"/>
  <c r="F49" i="199"/>
  <c r="F48" i="199"/>
  <c r="F43" i="199"/>
  <c r="F44" i="199" s="1"/>
  <c r="F42" i="199"/>
  <c r="F41" i="199"/>
  <c r="F40" i="199"/>
  <c r="F33" i="199"/>
  <c r="F32" i="199"/>
  <c r="F26" i="199"/>
  <c r="F22" i="199"/>
  <c r="F18" i="199"/>
  <c r="F31" i="199" s="1"/>
  <c r="A11" i="199"/>
  <c r="A8" i="199"/>
  <c r="F34" i="199" l="1"/>
  <c r="F9" i="199" s="1"/>
  <c r="A20" i="199"/>
  <c r="F50" i="199"/>
  <c r="F63" i="199" s="1"/>
  <c r="F68" i="199" s="1"/>
  <c r="F80" i="199" s="1"/>
  <c r="A24" i="199"/>
  <c r="A16" i="199"/>
  <c r="F94" i="199" l="1"/>
  <c r="A28" i="199"/>
  <c r="A38" i="199"/>
  <c r="F95" i="199"/>
  <c r="F100" i="199"/>
  <c r="F89" i="199"/>
  <c r="A46" i="199" l="1"/>
  <c r="A52" i="199"/>
  <c r="F96" i="199"/>
  <c r="F54" i="199" s="1"/>
  <c r="F12" i="199" s="1"/>
  <c r="A56" i="199" l="1"/>
  <c r="A60" i="199" l="1"/>
  <c r="A82" i="199" l="1"/>
  <c r="A87" i="199" s="1"/>
  <c r="A91" i="199"/>
  <c r="A98" i="199" s="1"/>
  <c r="A102" i="199" s="1"/>
  <c r="A108" i="199" s="1"/>
  <c r="A116" i="199" s="1"/>
  <c r="A120" i="199" s="1"/>
  <c r="A126" i="199" s="1"/>
  <c r="A136" i="199" s="1"/>
  <c r="A142" i="199" s="1"/>
  <c r="A147" i="199" s="1"/>
  <c r="A152" i="199" s="1"/>
  <c r="A156" i="199" s="1"/>
  <c r="A162" i="199" s="1"/>
  <c r="A165" i="199" s="1"/>
  <c r="F265" i="5" l="1"/>
  <c r="F257" i="5"/>
  <c r="F255" i="5"/>
  <c r="F250" i="5"/>
  <c r="F249" i="5"/>
  <c r="F251" i="5" s="1"/>
  <c r="F231" i="5"/>
  <c r="F222" i="5"/>
  <c r="F215" i="5"/>
  <c r="F209" i="5"/>
  <c r="F206" i="5"/>
  <c r="F202" i="5"/>
  <c r="F184" i="5"/>
  <c r="F183" i="5"/>
  <c r="F182" i="5"/>
  <c r="F181" i="5"/>
  <c r="F185" i="5" s="1"/>
  <c r="F179" i="5"/>
  <c r="F169" i="5"/>
  <c r="F165" i="5"/>
  <c r="F156" i="5"/>
  <c r="F154" i="5"/>
  <c r="F173" i="5" s="1"/>
  <c r="F148" i="5"/>
  <c r="F138" i="5"/>
  <c r="F116" i="5"/>
  <c r="F124" i="5" s="1"/>
  <c r="F128" i="5" s="1"/>
  <c r="F132" i="5" s="1"/>
  <c r="F110" i="5"/>
  <c r="F100" i="5"/>
  <c r="F87" i="5"/>
  <c r="F83" i="5"/>
  <c r="F82" i="5"/>
  <c r="F84" i="5" s="1"/>
  <c r="F81" i="5"/>
  <c r="F80" i="5"/>
  <c r="F79" i="5"/>
  <c r="F78" i="5"/>
  <c r="F77" i="5"/>
  <c r="F76" i="5"/>
  <c r="F75" i="5"/>
  <c r="F74" i="5"/>
  <c r="F73" i="5"/>
  <c r="F72" i="5"/>
  <c r="F40" i="5"/>
  <c r="F28" i="5"/>
  <c r="F25" i="5"/>
  <c r="A24" i="5"/>
  <c r="A21" i="5"/>
  <c r="A8" i="5"/>
  <c r="F88" i="5" l="1"/>
  <c r="F22" i="5"/>
  <c r="A27" i="5"/>
  <c r="A32" i="5"/>
  <c r="F120" i="5"/>
  <c r="F157" i="5"/>
  <c r="F161" i="5"/>
  <c r="A36" i="5" l="1"/>
  <c r="A42" i="5" l="1"/>
  <c r="A48" i="5" l="1"/>
  <c r="A52" i="5" l="1"/>
  <c r="A60" i="5"/>
  <c r="A66" i="5" s="1"/>
  <c r="A69" i="5" l="1"/>
  <c r="A90" i="5" l="1"/>
  <c r="A94" i="5"/>
  <c r="A104" i="5" s="1"/>
  <c r="A108" i="5" s="1"/>
  <c r="A114" i="5" s="1"/>
  <c r="A118" i="5" s="1"/>
  <c r="A122" i="5" s="1"/>
  <c r="A126" i="5" s="1"/>
  <c r="A130" i="5" s="1"/>
  <c r="A136" i="5" s="1"/>
  <c r="A140" i="5" s="1"/>
  <c r="A144" i="5" s="1"/>
  <c r="A152" i="5" s="1"/>
  <c r="A159" i="5" s="1"/>
  <c r="A163" i="5" s="1"/>
  <c r="A167" i="5" s="1"/>
  <c r="A171" i="5" l="1"/>
  <c r="A177" i="5" s="1"/>
  <c r="A194" i="5" s="1"/>
  <c r="A200" i="5" s="1"/>
  <c r="A204" i="5" s="1"/>
  <c r="A208" i="5" s="1"/>
  <c r="A211" i="5" s="1"/>
  <c r="A219" i="5" s="1"/>
  <c r="A224" i="5" s="1"/>
  <c r="A234" i="5" s="1"/>
  <c r="A238" i="5" s="1"/>
  <c r="A242" i="5" s="1"/>
  <c r="A248" i="5" s="1"/>
  <c r="A253" i="5" s="1"/>
  <c r="A259" i="5" s="1"/>
  <c r="A263" i="5" s="1"/>
  <c r="A269" i="5" s="1"/>
  <c r="F804" i="4" l="1"/>
  <c r="F796" i="4"/>
  <c r="F790" i="4"/>
  <c r="F776" i="4"/>
  <c r="F769" i="4"/>
  <c r="F758" i="4"/>
  <c r="F754" i="4"/>
  <c r="F753" i="4"/>
  <c r="F755" i="4" s="1"/>
  <c r="F759" i="4" s="1"/>
  <c r="F746" i="4"/>
  <c r="F745" i="4"/>
  <c r="F747" i="4" s="1"/>
  <c r="F739" i="4"/>
  <c r="F738" i="4"/>
  <c r="F737" i="4"/>
  <c r="F740" i="4" s="1"/>
  <c r="F734" i="4"/>
  <c r="F733" i="4"/>
  <c r="F726" i="4"/>
  <c r="F718" i="4"/>
  <c r="F717" i="4"/>
  <c r="F719" i="4" s="1"/>
  <c r="F711" i="4"/>
  <c r="F710" i="4"/>
  <c r="F712" i="4" s="1"/>
  <c r="F705" i="4"/>
  <c r="F704" i="4"/>
  <c r="F696" i="4"/>
  <c r="F693" i="4"/>
  <c r="F683" i="4"/>
  <c r="F678" i="4"/>
  <c r="F671" i="4"/>
  <c r="F665" i="4"/>
  <c r="F662" i="4"/>
  <c r="F661" i="4"/>
  <c r="F663" i="4" s="1"/>
  <c r="F666" i="4" s="1"/>
  <c r="F657" i="4"/>
  <c r="F651" i="4"/>
  <c r="F644" i="4"/>
  <c r="F641" i="4"/>
  <c r="F640" i="4"/>
  <c r="F642" i="4" s="1"/>
  <c r="F635" i="4"/>
  <c r="F634" i="4"/>
  <c r="F636" i="4" s="1"/>
  <c r="F630" i="4"/>
  <c r="F629" i="4"/>
  <c r="F628" i="4"/>
  <c r="F627" i="4"/>
  <c r="F626" i="4"/>
  <c r="F625" i="4"/>
  <c r="F598" i="4"/>
  <c r="F592" i="4"/>
  <c r="F573" i="4"/>
  <c r="F577" i="4" s="1"/>
  <c r="F560" i="4"/>
  <c r="F544" i="4"/>
  <c r="F525" i="4"/>
  <c r="F513" i="4"/>
  <c r="F506" i="4"/>
  <c r="F505" i="4"/>
  <c r="F507" i="4" s="1"/>
  <c r="F501" i="4"/>
  <c r="F500" i="4"/>
  <c r="F499" i="4"/>
  <c r="F496" i="4"/>
  <c r="F492" i="4"/>
  <c r="F488" i="4"/>
  <c r="F485" i="4"/>
  <c r="F484" i="4"/>
  <c r="F483" i="4"/>
  <c r="F486" i="4" s="1"/>
  <c r="F479" i="4"/>
  <c r="F455" i="4"/>
  <c r="F451" i="4"/>
  <c r="F438" i="4"/>
  <c r="F437" i="4"/>
  <c r="F436" i="4"/>
  <c r="F435" i="4"/>
  <c r="F434" i="4"/>
  <c r="F433" i="4"/>
  <c r="F432" i="4"/>
  <c r="F430" i="4"/>
  <c r="F429" i="4"/>
  <c r="F428" i="4"/>
  <c r="F425" i="4"/>
  <c r="F424" i="4"/>
  <c r="F423" i="4"/>
  <c r="F422" i="4"/>
  <c r="F421" i="4"/>
  <c r="F420" i="4"/>
  <c r="F417" i="4"/>
  <c r="F416" i="4"/>
  <c r="F415" i="4"/>
  <c r="F414" i="4"/>
  <c r="F413" i="4"/>
  <c r="F412" i="4"/>
  <c r="F411" i="4"/>
  <c r="F396" i="4"/>
  <c r="F392" i="4"/>
  <c r="F390" i="4"/>
  <c r="F364" i="4"/>
  <c r="F358" i="4"/>
  <c r="F353" i="4"/>
  <c r="F332" i="4" s="1"/>
  <c r="F333" i="4" s="1"/>
  <c r="F350" i="4"/>
  <c r="F354" i="4" s="1"/>
  <c r="F342" i="4"/>
  <c r="F341" i="4"/>
  <c r="F327" i="4"/>
  <c r="F374" i="4" s="1"/>
  <c r="F305" i="4"/>
  <c r="F313" i="4" s="1"/>
  <c r="F317" i="4" s="1"/>
  <c r="F321" i="4" s="1"/>
  <c r="F292" i="4"/>
  <c r="F287" i="4"/>
  <c r="F286" i="4"/>
  <c r="F285" i="4"/>
  <c r="F288" i="4" s="1"/>
  <c r="F298" i="4" s="1"/>
  <c r="F276" i="4"/>
  <c r="F275" i="4"/>
  <c r="F277" i="4" s="1"/>
  <c r="F271" i="4"/>
  <c r="F265" i="4"/>
  <c r="F229" i="4"/>
  <c r="F228" i="4"/>
  <c r="F227" i="4"/>
  <c r="F226" i="4"/>
  <c r="F230" i="4" s="1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199" i="4"/>
  <c r="F198" i="4"/>
  <c r="F197" i="4"/>
  <c r="F196" i="4"/>
  <c r="F195" i="4"/>
  <c r="F194" i="4"/>
  <c r="F193" i="4"/>
  <c r="F192" i="4"/>
  <c r="F191" i="4"/>
  <c r="F190" i="4"/>
  <c r="F189" i="4"/>
  <c r="F183" i="4"/>
  <c r="F182" i="4"/>
  <c r="F181" i="4"/>
  <c r="F178" i="4"/>
  <c r="F173" i="4"/>
  <c r="F166" i="4"/>
  <c r="F146" i="4"/>
  <c r="F136" i="4"/>
  <c r="F126" i="4"/>
  <c r="F116" i="4"/>
  <c r="F117" i="4" s="1"/>
  <c r="F109" i="4"/>
  <c r="F102" i="4"/>
  <c r="F103" i="4" s="1"/>
  <c r="F95" i="4"/>
  <c r="F86" i="4"/>
  <c r="F80" i="4"/>
  <c r="F72" i="4"/>
  <c r="F71" i="4"/>
  <c r="F73" i="4" s="1"/>
  <c r="F66" i="4"/>
  <c r="A8" i="4"/>
  <c r="F735" i="4" l="1"/>
  <c r="F741" i="4" s="1"/>
  <c r="F706" i="4"/>
  <c r="F297" i="4"/>
  <c r="F299" i="4" s="1"/>
  <c r="F281" i="4" s="1"/>
  <c r="F502" i="4"/>
  <c r="F562" i="4"/>
  <c r="F394" i="4"/>
  <c r="F426" i="4"/>
  <c r="F418" i="4"/>
  <c r="F439" i="4"/>
  <c r="F184" i="4"/>
  <c r="F631" i="4"/>
  <c r="F343" i="4"/>
  <c r="F393" i="4" s="1"/>
  <c r="F381" i="4"/>
  <c r="F405" i="4"/>
  <c r="A59" i="4"/>
  <c r="A62" i="4" s="1"/>
  <c r="F391" i="4"/>
  <c r="F395" i="4" s="1"/>
  <c r="F397" i="4" s="1"/>
  <c r="F376" i="4" s="1"/>
  <c r="F200" i="4"/>
  <c r="F309" i="4"/>
  <c r="F401" i="4"/>
  <c r="F60" i="4" l="1"/>
  <c r="F63" i="4"/>
  <c r="F377" i="4"/>
  <c r="A65" i="4"/>
  <c r="F231" i="4" l="1"/>
  <c r="A70" i="4"/>
  <c r="A75" i="4"/>
  <c r="A88" i="4" l="1"/>
  <c r="A92" i="4"/>
  <c r="A97" i="4"/>
  <c r="A105" i="4" l="1"/>
  <c r="A111" i="4" l="1"/>
  <c r="A119" i="4" l="1"/>
  <c r="A130" i="4"/>
  <c r="A138" i="4" s="1"/>
  <c r="A148" i="4" s="1"/>
  <c r="A154" i="4" s="1"/>
  <c r="A160" i="4" s="1"/>
  <c r="A163" i="4" s="1"/>
  <c r="A168" i="4" l="1"/>
  <c r="A175" i="4" s="1"/>
  <c r="A233" i="4" s="1"/>
  <c r="A237" i="4" s="1"/>
  <c r="A241" i="4" l="1"/>
  <c r="A245" i="4" s="1"/>
  <c r="A249" i="4" s="1"/>
  <c r="A259" i="4" s="1"/>
  <c r="A263" i="4" s="1"/>
  <c r="A269" i="4" s="1"/>
  <c r="A273" i="4" s="1"/>
  <c r="A279" i="4" l="1"/>
  <c r="A283" i="4" s="1"/>
  <c r="A290" i="4"/>
  <c r="A294" i="4" s="1"/>
  <c r="A303" i="4" s="1"/>
  <c r="A307" i="4" s="1"/>
  <c r="A311" i="4" s="1"/>
  <c r="A315" i="4" s="1"/>
  <c r="A319" i="4" s="1"/>
  <c r="A325" i="4" s="1"/>
  <c r="A329" i="4" s="1"/>
  <c r="A335" i="4" s="1"/>
  <c r="A339" i="4" s="1"/>
  <c r="A345" i="4" s="1"/>
  <c r="A356" i="4" s="1"/>
  <c r="A360" i="4" s="1"/>
  <c r="A366" i="4" s="1"/>
  <c r="A372" i="4" s="1"/>
  <c r="A379" i="4" s="1"/>
  <c r="A383" i="4" s="1"/>
  <c r="A387" i="4" s="1"/>
  <c r="A399" i="4" s="1"/>
  <c r="A403" i="4" s="1"/>
  <c r="A409" i="4" s="1"/>
  <c r="A449" i="4" s="1"/>
  <c r="A453" i="4" s="1"/>
  <c r="A475" i="4" s="1"/>
  <c r="A481" i="4" s="1"/>
  <c r="A490" i="4" s="1"/>
  <c r="A494" i="4" s="1"/>
  <c r="A504" i="4" s="1"/>
  <c r="A509" i="4" s="1"/>
  <c r="A517" i="4" s="1"/>
  <c r="A527" i="4" s="1"/>
  <c r="A531" i="4" s="1"/>
  <c r="A535" i="4" s="1"/>
  <c r="A538" i="4" s="1"/>
  <c r="A564" i="4" s="1"/>
  <c r="A579" i="4" s="1"/>
  <c r="A594" i="4" s="1"/>
  <c r="A602" i="4" s="1"/>
  <c r="F427" i="3"/>
  <c r="F421" i="3"/>
  <c r="F414" i="3"/>
  <c r="F411" i="3"/>
  <c r="F410" i="3"/>
  <c r="F409" i="3"/>
  <c r="F405" i="3"/>
  <c r="F401" i="3"/>
  <c r="F400" i="3"/>
  <c r="F399" i="3"/>
  <c r="F398" i="3"/>
  <c r="F397" i="3"/>
  <c r="F396" i="3"/>
  <c r="F378" i="3"/>
  <c r="F367" i="3"/>
  <c r="F351" i="3"/>
  <c r="F341" i="3"/>
  <c r="F335" i="3"/>
  <c r="F332" i="3"/>
  <c r="F325" i="3"/>
  <c r="F321" i="3"/>
  <c r="F318" i="3"/>
  <c r="F317" i="3"/>
  <c r="F288" i="3"/>
  <c r="F284" i="3"/>
  <c r="F272" i="3"/>
  <c r="F271" i="3"/>
  <c r="F270" i="3"/>
  <c r="F269" i="3"/>
  <c r="F268" i="3"/>
  <c r="F267" i="3"/>
  <c r="F266" i="3"/>
  <c r="F263" i="3"/>
  <c r="F262" i="3"/>
  <c r="F258" i="3"/>
  <c r="F257" i="3"/>
  <c r="F253" i="3"/>
  <c r="F252" i="3"/>
  <c r="F251" i="3"/>
  <c r="F250" i="3"/>
  <c r="F249" i="3"/>
  <c r="F248" i="3"/>
  <c r="F247" i="3"/>
  <c r="F254" i="3" s="1"/>
  <c r="F222" i="3"/>
  <c r="F216" i="3"/>
  <c r="F228" i="3" s="1"/>
  <c r="F190" i="3"/>
  <c r="F198" i="3" s="1"/>
  <c r="F206" i="3" s="1"/>
  <c r="F210" i="3" s="1"/>
  <c r="F184" i="3"/>
  <c r="F66" i="3" s="1"/>
  <c r="F142" i="3"/>
  <c r="F141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4" i="3"/>
  <c r="F99" i="3"/>
  <c r="F81" i="3"/>
  <c r="A8" i="3"/>
  <c r="F273" i="3" l="1"/>
  <c r="F412" i="3"/>
  <c r="F319" i="3"/>
  <c r="A614" i="4"/>
  <c r="A608" i="4"/>
  <c r="F259" i="3"/>
  <c r="F402" i="3"/>
  <c r="F143" i="3"/>
  <c r="F144" i="3" s="1"/>
  <c r="F63" i="3"/>
  <c r="F240" i="3"/>
  <c r="F232" i="3"/>
  <c r="F194" i="3"/>
  <c r="A62" i="3"/>
  <c r="A65" i="3" s="1"/>
  <c r="A70" i="3" s="1"/>
  <c r="F236" i="3"/>
  <c r="A618" i="4" l="1"/>
  <c r="A624" i="4" s="1"/>
  <c r="A633" i="4" s="1"/>
  <c r="A638" i="4" s="1"/>
  <c r="A646" i="4" s="1"/>
  <c r="A655" i="4" s="1"/>
  <c r="A659" i="4" s="1"/>
  <c r="A670" i="4" s="1"/>
  <c r="A675" i="4" s="1"/>
  <c r="A680" i="4" s="1"/>
  <c r="A687" i="4" s="1"/>
  <c r="A691" i="4" s="1"/>
  <c r="A695" i="4" s="1"/>
  <c r="A698" i="4" s="1"/>
  <c r="A702" i="4" s="1"/>
  <c r="A708" i="4" s="1"/>
  <c r="A714" i="4" s="1"/>
  <c r="A721" i="4" s="1"/>
  <c r="A730" i="4" s="1"/>
  <c r="A743" i="4" s="1"/>
  <c r="A749" i="4" s="1"/>
  <c r="A763" i="4" s="1"/>
  <c r="A771" i="4" s="1"/>
  <c r="A780" i="4" s="1"/>
  <c r="A784" i="4" s="1"/>
  <c r="A76" i="3"/>
  <c r="A83" i="3" l="1"/>
  <c r="A89" i="3"/>
  <c r="A93" i="3" l="1"/>
  <c r="A101" i="3"/>
  <c r="A105" i="3" l="1"/>
  <c r="A111" i="3" l="1"/>
  <c r="A116" i="3" l="1"/>
  <c r="A146" i="3" l="1"/>
  <c r="A154" i="3" l="1"/>
  <c r="A158" i="3" s="1"/>
  <c r="A162" i="3" l="1"/>
  <c r="A168" i="3" s="1"/>
  <c r="A178" i="3" s="1"/>
  <c r="A182" i="3" s="1"/>
  <c r="A188" i="3" s="1"/>
  <c r="A192" i="3" s="1"/>
  <c r="A196" i="3" s="1"/>
  <c r="A200" i="3" s="1"/>
  <c r="A204" i="3" s="1"/>
  <c r="A208" i="3" s="1"/>
  <c r="A214" i="3" s="1"/>
  <c r="A218" i="3" s="1"/>
  <c r="A226" i="3" s="1"/>
  <c r="A230" i="3" s="1"/>
  <c r="A234" i="3" s="1"/>
  <c r="A238" i="3" s="1"/>
  <c r="A244" i="3" s="1"/>
  <c r="A282" i="3" s="1"/>
  <c r="A286" i="3" s="1"/>
  <c r="A311" i="3" s="1"/>
  <c r="A315" i="3" s="1"/>
  <c r="A323" i="3" s="1"/>
  <c r="A327" i="3" s="1"/>
  <c r="A334" i="3" s="1"/>
  <c r="A337" i="3" s="1"/>
  <c r="A345" i="3" s="1"/>
  <c r="A353" i="3" s="1"/>
  <c r="A370" i="3" s="1"/>
  <c r="A381" i="3" s="1"/>
  <c r="A385" i="3" s="1"/>
  <c r="A389" i="3" s="1"/>
  <c r="A395" i="3" s="1"/>
  <c r="A404" i="3" s="1"/>
  <c r="A407" i="3" s="1"/>
  <c r="A416" i="3" s="1"/>
  <c r="A425" i="3" s="1"/>
  <c r="F182" i="2"/>
  <c r="F179" i="2"/>
  <c r="F174" i="2"/>
  <c r="F173" i="2"/>
  <c r="F175" i="2" s="1"/>
  <c r="F156" i="2"/>
  <c r="F152" i="2"/>
  <c r="F161" i="2" s="1"/>
  <c r="F144" i="2"/>
  <c r="F160" i="2" s="1"/>
  <c r="F80" i="2"/>
  <c r="F77" i="2"/>
  <c r="F76" i="2"/>
  <c r="F73" i="2"/>
  <c r="F72" i="2"/>
  <c r="F69" i="2"/>
  <c r="F68" i="2"/>
  <c r="F70" i="2" s="1"/>
  <c r="F66" i="2"/>
  <c r="F37" i="2"/>
  <c r="F36" i="2"/>
  <c r="F35" i="2"/>
  <c r="F38" i="2" s="1"/>
  <c r="F12" i="2" s="1"/>
  <c r="F30" i="2"/>
  <c r="F16" i="2"/>
  <c r="F15" i="2"/>
  <c r="A8" i="2"/>
  <c r="A11" i="2" s="1"/>
  <c r="F162" i="2" l="1"/>
  <c r="F78" i="2"/>
  <c r="F74" i="2"/>
  <c r="F17" i="2"/>
  <c r="F18" i="2" s="1"/>
  <c r="A14" i="2"/>
  <c r="A22" i="2" s="1"/>
  <c r="A26" i="2" s="1"/>
  <c r="A32" i="2" s="1"/>
  <c r="F148" i="2"/>
  <c r="F86" i="2"/>
  <c r="F88" i="2" s="1"/>
  <c r="A42" i="2" l="1"/>
  <c r="A46" i="2"/>
  <c r="F99" i="2"/>
  <c r="F103" i="2" s="1"/>
  <c r="F107" i="2" s="1"/>
  <c r="F91" i="2"/>
  <c r="F95" i="2" s="1"/>
  <c r="A50" i="2" l="1"/>
  <c r="A57" i="2" l="1"/>
  <c r="A64" i="2" l="1"/>
  <c r="A84" i="2" l="1"/>
  <c r="A93" i="2" l="1"/>
  <c r="A97" i="2"/>
  <c r="A101" i="2" s="1"/>
  <c r="A105" i="2" s="1"/>
  <c r="A111" i="2" s="1"/>
  <c r="A115" i="2" s="1"/>
  <c r="A119" i="2" s="1"/>
  <c r="A123" i="2" s="1"/>
  <c r="A128" i="2" s="1"/>
  <c r="A132" i="2" s="1"/>
  <c r="A136" i="2" s="1"/>
  <c r="A142" i="2" s="1"/>
  <c r="A146" i="2" s="1"/>
  <c r="A150" i="2" s="1"/>
  <c r="A154" i="2" s="1"/>
  <c r="A158" i="2" s="1"/>
  <c r="A166" i="2" s="1"/>
  <c r="A172" i="2" s="1"/>
  <c r="A177" i="2" s="1"/>
  <c r="A181" i="2" s="1"/>
  <c r="A186" i="2" s="1"/>
</calcChain>
</file>

<file path=xl/sharedStrings.xml><?xml version="1.0" encoding="utf-8"?>
<sst xmlns="http://schemas.openxmlformats.org/spreadsheetml/2006/main" count="11502" uniqueCount="3193">
  <si>
    <t>Celkový výkaz výmer</t>
  </si>
  <si>
    <t>ČASŤ STAVBY :</t>
  </si>
  <si>
    <t>KS:</t>
  </si>
  <si>
    <t>POLOŽKA</t>
  </si>
  <si>
    <t>VÝKAZ VÝMER</t>
  </si>
  <si>
    <t>M.J.</t>
  </si>
  <si>
    <t>MNOŽ.</t>
  </si>
  <si>
    <t>Č.</t>
  </si>
  <si>
    <t>KÓD CPV</t>
  </si>
  <si>
    <t>KÓD SP</t>
  </si>
  <si>
    <t>KÓD SPP</t>
  </si>
  <si>
    <t>45.00.00</t>
  </si>
  <si>
    <t>Všeobecné položky v procese obstarávania stavieb</t>
  </si>
  <si>
    <t>00010401</t>
  </si>
  <si>
    <t>Zmluvné požiadavky poplatky za skládky vybúraných hmôt a sutí</t>
  </si>
  <si>
    <t>t</t>
  </si>
  <si>
    <t>00010404</t>
  </si>
  <si>
    <t>Zmluvné požiadavky poplatky za skládky travín, krovia, mačiny,lesnej hrabanky</t>
  </si>
  <si>
    <t>m3</t>
  </si>
  <si>
    <t>45.11.11</t>
  </si>
  <si>
    <t>Demolačné práce</t>
  </si>
  <si>
    <t>m2</t>
  </si>
  <si>
    <t>05030161</t>
  </si>
  <si>
    <t>Odstránenie spevnených plôch vozoviek a doplňujúcich konštrukcií krytov cementobetónových</t>
  </si>
  <si>
    <t>0503016102</t>
  </si>
  <si>
    <t>Odstránenie spevnených plôch vozoviek a doplňujúcich konštrukcií krytov cementobetónových hr. nad 100 do 200 mm</t>
  </si>
  <si>
    <t>05030166</t>
  </si>
  <si>
    <t>Odstránenie spevnených plôch vozoviek a doplňujúcich konštrukcií krytov dlaždených</t>
  </si>
  <si>
    <t>05030261</t>
  </si>
  <si>
    <t>Odstránenie spevnených plôch vozoviek a doplňujúcich konštrukcií podkladov z betónu prostého</t>
  </si>
  <si>
    <t>0503026101</t>
  </si>
  <si>
    <t>Odstránenie spevnených plôch vozoviek a doplňujúcich konštrukcií podkladov z betónu prostého hr.do 100 mm</t>
  </si>
  <si>
    <t>05030507</t>
  </si>
  <si>
    <t>ks</t>
  </si>
  <si>
    <t>05030407</t>
  </si>
  <si>
    <t>Odstránenie spevnených plôch vozoviek a doplňujúcich konštrukcií zvodidiel, zábradlia, stien, oplotení kovových</t>
  </si>
  <si>
    <t>m</t>
  </si>
  <si>
    <t>05080200</t>
  </si>
  <si>
    <t>Doprava vybúraných hmôt vodorovná</t>
  </si>
  <si>
    <t>0508020003</t>
  </si>
  <si>
    <t>Doprava vybúraných hmôt vodorovná, nad 1 km</t>
  </si>
  <si>
    <t>spolu</t>
  </si>
  <si>
    <t>05090362</t>
  </si>
  <si>
    <t>Doplňujúce práce, frézovanie bitúmenového krytu, podkladu</t>
  </si>
  <si>
    <t xml:space="preserve">45.11.12 </t>
  </si>
  <si>
    <t>Úprava staveniska a vyčisťovacie práce</t>
  </si>
  <si>
    <t>01010103</t>
  </si>
  <si>
    <t>Pripravné práce, odstránenie porastov krovín</t>
  </si>
  <si>
    <t>0101010301</t>
  </si>
  <si>
    <t>Pripravné práce, odstránenie porastov krovín na suchu</t>
  </si>
  <si>
    <t>01060204</t>
  </si>
  <si>
    <t>Premiestnenie  vodorovné nad 3 000 m</t>
  </si>
  <si>
    <t>0106020404</t>
  </si>
  <si>
    <t>Premiestnenie  vodorovné nad 3 000 m, vyklčovaných krovín</t>
  </si>
  <si>
    <t xml:space="preserve">45.11.24 </t>
  </si>
  <si>
    <t>Výkopové práce</t>
  </si>
  <si>
    <t>45.11.25</t>
  </si>
  <si>
    <t>Presun zemín</t>
  </si>
  <si>
    <t>01040100</t>
  </si>
  <si>
    <t>Konštrukcie z hornín - skládky</t>
  </si>
  <si>
    <t>0104010007</t>
  </si>
  <si>
    <t>Konštrukcie z hornín - skládky  tr.horniny 1-4</t>
  </si>
  <si>
    <t>01060203</t>
  </si>
  <si>
    <t>Premiestnenie  vodorovné do 3 000 m</t>
  </si>
  <si>
    <t>0106020301</t>
  </si>
  <si>
    <t>Premiestnenie  výkopku resp. rúbaniny vodorovné do 3 000 m, tr. horniny 1-4</t>
  </si>
  <si>
    <t>výkop</t>
  </si>
  <si>
    <t>05010104</t>
  </si>
  <si>
    <t>Búranie konštrukcií základov, betónových</t>
  </si>
  <si>
    <t>05010305</t>
  </si>
  <si>
    <t>Búranie konštrukcií stropov, klenieb, schodov železobetónových</t>
  </si>
  <si>
    <t>odvoz na spoplatnenú skládku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</si>
  <si>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</si>
  <si>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</si>
  <si>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</si>
  <si>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</si>
  <si>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</si>
  <si>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</si>
  <si>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01040402</t>
  </si>
  <si>
    <t>Konštrukcie z hornín - zásypy so zhutnením</t>
  </si>
  <si>
    <t>0104040207</t>
  </si>
  <si>
    <t>Konštrukcie z hornín - zásypy so zhutnením, tr. horniny 1-4</t>
  </si>
  <si>
    <t>zásyp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</si>
  <si>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</si>
  <si>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</si>
  <si>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</si>
  <si>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</si>
  <si>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45.11.23</t>
  </si>
  <si>
    <t>Vyplňovanie a rekultivačné práce</t>
  </si>
  <si>
    <t>Premiestnenie  výkopku resp. rúbaniny, vodorovné do 3 000 m, tr. horniny 1-4</t>
  </si>
  <si>
    <t>01080501</t>
  </si>
  <si>
    <t>Povrchové úpravy terénu, úpravy povrchov rozprestretím ornice</t>
  </si>
  <si>
    <t>0108050101</t>
  </si>
  <si>
    <t>Povrchové úpravy terénu, úpravy povrchov rozprestretím ornice na rovine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</si>
  <si>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</si>
  <si>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</si>
  <si>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</si>
  <si>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</si>
  <si>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>01080811</t>
  </si>
  <si>
    <t>Povrchové úpravy terénu, sadenie, presádzanie, ošetrovanie, ochrana trávnika</t>
  </si>
  <si>
    <t>0108081101</t>
  </si>
  <si>
    <t>Povrchové úpravy terénu, sadenie, presádzanie, ošetrovanie, ochrana trávnika v rovine</t>
  </si>
  <si>
    <t>ošetrenie trávnika</t>
  </si>
  <si>
    <t>45.34.20</t>
  </si>
  <si>
    <t>Montáž oplotenia</t>
  </si>
  <si>
    <t>11030432</t>
  </si>
  <si>
    <t>Stĺpy, piliere, vzpery a rámové stojky (pozemné stavby) plotové oceľové</t>
  </si>
  <si>
    <t>1103043201</t>
  </si>
  <si>
    <t>Stĺpy, piliere, vzpery a rámové stojky (pozemné stavby) plotové oceľové, zabetónovanie pätky</t>
  </si>
  <si>
    <t>67110108</t>
  </si>
  <si>
    <t>Oplotenie  z drôteného pletiva pozinkovaného</t>
  </si>
  <si>
    <t>6711010802</t>
  </si>
  <si>
    <t>Oplotenie  z drôteného pletiva pozinkovaného, na stĺpiky oceľové</t>
  </si>
  <si>
    <t>05020340</t>
  </si>
  <si>
    <t>Vybúranie konštrukcií a demontáže, inštalačného vedenia a príslušenstva elektroinštalačného</t>
  </si>
  <si>
    <t>05020341</t>
  </si>
  <si>
    <t>Vybúranie konštrukcií a demontáže, inštalačného vedenia a príslušenstva stožiarov</t>
  </si>
  <si>
    <t>05020907</t>
  </si>
  <si>
    <t>Vybúranie konštrukcií a demontáže, rôznych predmetov kovových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</si>
  <si>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</si>
  <si>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</si>
  <si>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</si>
  <si>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</si>
  <si>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>0503016602</t>
  </si>
  <si>
    <t>Odstránenie spevnených plôch vozoviek a doplňujúcich konštrukcií krytov dlaždených hr. nad 100 do 200 mm</t>
  </si>
  <si>
    <t>05030262</t>
  </si>
  <si>
    <t>Odstránenie spevnených plôch vozoviek a doplňujúcich konštrukcií podkladov bitúmenových</t>
  </si>
  <si>
    <t>0503026202</t>
  </si>
  <si>
    <t>Odstránenie spevnených plôch vozoviek a doplňujúcich konštrukcií podkladov bitúmenových hr. nad 100 do 200 mm</t>
  </si>
  <si>
    <t>45.24.70</t>
  </si>
  <si>
    <t>Práce na hrubej stavbe úprav tokov, hrádzí, zavlažovacích kanálov a akvaduktov</t>
  </si>
  <si>
    <t>45.26.22</t>
  </si>
  <si>
    <t>Základové práce a vŕtanie vodných studní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</si>
  <si>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</si>
  <si>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</si>
  <si>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</si>
  <si>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</si>
  <si>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kríky</t>
  </si>
  <si>
    <t>0106020401</t>
  </si>
  <si>
    <t>Premiestnenie  výkopku resp. rúbaniny, vodorovné nad 3 000 m, tr. horniny 1-4</t>
  </si>
  <si>
    <t>01080502</t>
  </si>
  <si>
    <t>Povrchové úpravy terénu, úpravy povrchov založením trávnika ručne</t>
  </si>
  <si>
    <t>odvoz do zberného dvora</t>
  </si>
  <si>
    <t>01010301</t>
  </si>
  <si>
    <t>Pripravné práce, čerpanie vody gravitačnými studňami</t>
  </si>
  <si>
    <t>hod</t>
  </si>
  <si>
    <t>0101030101</t>
  </si>
  <si>
    <t>Pripravné práce, čerpanie vody gravitačnými studňami do 500 l/min</t>
  </si>
  <si>
    <t>01010401</t>
  </si>
  <si>
    <t>Pripravné práce, odvedenie vody potrubím alebo žľabmi na povrchu</t>
  </si>
  <si>
    <t>01020101</t>
  </si>
  <si>
    <t>Odkopávky a prekopávky humóznej vrstvy ornice</t>
  </si>
  <si>
    <t>0102010101</t>
  </si>
  <si>
    <t>Odkopávky a prekopávky humóznej vrstvy ornice tr. horniny 1-2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</si>
  <si>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</si>
  <si>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</si>
  <si>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</si>
  <si>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</si>
  <si>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</si>
  <si>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</si>
  <si>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</si>
  <si>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</si>
  <si>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01030202</t>
  </si>
  <si>
    <t>Hĺbené vykopávky rýh š nad 600 mm</t>
  </si>
  <si>
    <t>0103020207</t>
  </si>
  <si>
    <t>Hĺbené vykopávky rýh š nad 600 mm, tr. horniny 1-4</t>
  </si>
  <si>
    <t>ornica z hromád na medziskládku</t>
  </si>
  <si>
    <t>0104040203</t>
  </si>
  <si>
    <t>Konštrukcie z hornín - zásypy so zhutnením, tr.horniny 4</t>
  </si>
  <si>
    <t>pieskové lôžko</t>
  </si>
  <si>
    <t>01040502</t>
  </si>
  <si>
    <t>Konštrukcie z hornín - obsypy so zhutnením</t>
  </si>
  <si>
    <t>0104050202</t>
  </si>
  <si>
    <t>Konštrukcie z hornín - obsypy so zhutnením, tr.horniny 3</t>
  </si>
  <si>
    <t>z piesku (plynovod) - nakúpený materiál</t>
  </si>
  <si>
    <t>01060201</t>
  </si>
  <si>
    <t>Premiestnenie  vodorovné do 100 m</t>
  </si>
  <si>
    <t>0106020101</t>
  </si>
  <si>
    <t>Premiestnenie  výkopku resp. rúbaniny, vodorovné do 100 m, tr. horniny 1-4</t>
  </si>
  <si>
    <t>spätný zásyp (tam a späť)</t>
  </si>
  <si>
    <t>Premiestnenie , vodorovné do 3 000 m</t>
  </si>
  <si>
    <t>spätný zásyp</t>
  </si>
  <si>
    <t>Premiestnenie  nakladanie, prekladanie, vykladanie</t>
  </si>
  <si>
    <t>Premiestnenie  výkopku resp. rúbaniny, nakladanie, prekladanie, vykladanie tr. horniny 1-4</t>
  </si>
  <si>
    <t>nakladanie zobratej ornice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</si>
  <si>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</si>
  <si>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</si>
  <si>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</si>
  <si>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</si>
  <si>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45.23.12</t>
  </si>
  <si>
    <t>Stavebné práce na stavbe potrubných vedení nafty a plynu</t>
  </si>
  <si>
    <t>27010421</t>
  </si>
  <si>
    <t>Plynovody z rúr plastových, PE, PP</t>
  </si>
  <si>
    <t>2701042103</t>
  </si>
  <si>
    <t>Plynovody z rúr plastových, PE, PP, nad D 50 do 110 mm</t>
  </si>
  <si>
    <t>27010423</t>
  </si>
  <si>
    <t>Plynovody z rúr plastových, rúrové diely PE,PP</t>
  </si>
  <si>
    <t>2701042303</t>
  </si>
  <si>
    <t>Plynovody z rúr plastových, rúrové diely PE,PP, nad D 50 do D 110 mm</t>
  </si>
  <si>
    <t>27011283</t>
  </si>
  <si>
    <t>Plynovody, ostatné montážne práce, doplňujúce činnosti,</t>
  </si>
  <si>
    <t>2701128302</t>
  </si>
  <si>
    <t>Plynovody, ostatné montážne práce, doplňujúce činnosti, čuchačky</t>
  </si>
  <si>
    <t>čuchačka na chráničke - nadzemná ako OS + orientačná tabuľka</t>
  </si>
  <si>
    <t>27011285</t>
  </si>
  <si>
    <t>Plynovody, ostatné montážne práce, tlak. skúšky tesnosti potrubia</t>
  </si>
  <si>
    <t>2701128502</t>
  </si>
  <si>
    <t>Plynovody, ostatné montážne práce, tlak. skúšky tesnosti potrubia, vzduchom</t>
  </si>
  <si>
    <t>2701128503</t>
  </si>
  <si>
    <t>Plynovody, ostatné montážne práce, tlak. skúšky tesnosti potrubia, čistenie</t>
  </si>
  <si>
    <t>27011287</t>
  </si>
  <si>
    <t>Plynovody, ostatné montážne práce, revízie</t>
  </si>
  <si>
    <t>kpl</t>
  </si>
  <si>
    <t>odborná prehliadka plynovodu (po realizácii prekládky)</t>
  </si>
  <si>
    <t>uradná skúška plynovodu oprávnenou právnickou osobou  (po realizácii prekládky)</t>
  </si>
  <si>
    <t>27201391</t>
  </si>
  <si>
    <t>Podkladné konštrukcie pod potrubie, šachty, stoky atď., štrkopieskom</t>
  </si>
  <si>
    <t>45.23.13</t>
  </si>
  <si>
    <t>Práce na stavbe miestnych potrubných vedení vody a kanalizácie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</si>
  <si>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</si>
  <si>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</si>
  <si>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</si>
  <si>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</si>
  <si>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02010309</t>
  </si>
  <si>
    <t>Zlepšovanie základovej pôdy, trativody kompletné z potrubia plastického</t>
  </si>
  <si>
    <t>45.31.56</t>
  </si>
  <si>
    <t>Inštalovanie nízkého napätia</t>
  </si>
  <si>
    <t>Káble Cu - NN káble silové</t>
  </si>
  <si>
    <t>00010403</t>
  </si>
  <si>
    <t>Zmluvné požiadavky poplatky za skládky zeminy</t>
  </si>
  <si>
    <t>0503026402</t>
  </si>
  <si>
    <t>Odstránenie spevnených plôch vozoviek a doplňujúcich konštrukcií podkladov z kameniva hrubého drveného hr. nad 100 do 200 mm</t>
  </si>
  <si>
    <t>Odstránenie spevnených plôch vozoviek a doplňujúcich konštrukcií, zvislého dopravného značenia, kovových</t>
  </si>
  <si>
    <t>05090462</t>
  </si>
  <si>
    <t>Doplňujúce práce, diamantové rezanie bitúmenového krytu, podkladu</t>
  </si>
  <si>
    <t>0509046201</t>
  </si>
  <si>
    <t>Doplňujúce práce, diamantové rezanie bitúmenového krytu, podkladu hr. do 50 mm</t>
  </si>
  <si>
    <t>01020400</t>
  </si>
  <si>
    <t>Odkopávky a prekopávky komunikácií,železníc,plôch</t>
  </si>
  <si>
    <t>0102040007</t>
  </si>
  <si>
    <t>Odkopávky a prekopávky komunikácií,železníc,plôch, tr.horniny 1-4</t>
  </si>
  <si>
    <t>01040202</t>
  </si>
  <si>
    <t>Konštrukcie z hornín - násypy so zhutnením</t>
  </si>
  <si>
    <t>0104020201</t>
  </si>
  <si>
    <t>Konštrukcie z hornín - násypy so zhutnením zo zemín súdržných</t>
  </si>
  <si>
    <t>01040302</t>
  </si>
  <si>
    <t>Konštrukcie z hornín - prechodové vrstvy so zhutnením</t>
  </si>
  <si>
    <t>0104030205</t>
  </si>
  <si>
    <t>Konštrukcie z hornín - prechodové vrstvy so zhutnením zo sypanín kamenistých a balvanitých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</si>
  <si>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</si>
  <si>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</si>
  <si>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</si>
  <si>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</si>
  <si>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01080401</t>
  </si>
  <si>
    <t>Povrchové úpravy terénu, svahovanie v zárezoch</t>
  </si>
  <si>
    <t>0108040101</t>
  </si>
  <si>
    <t>Povrchové úpravy terénu, svahovanie v zárezoch, tr.horniny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</si>
  <si>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</si>
  <si>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</si>
  <si>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</si>
  <si>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</si>
  <si>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45.23.32</t>
  </si>
  <si>
    <t>Práce na vrchnej stavbe diaľníc, ciest, ulíc, chodníkov a nekrytých parkovísk</t>
  </si>
  <si>
    <t>22040851</t>
  </si>
  <si>
    <t>22250362</t>
  </si>
  <si>
    <t>Doplňujúce konštrukcie, zvodidlá oceľové</t>
  </si>
  <si>
    <t>22250671</t>
  </si>
  <si>
    <t>Doplňujúce konštrukcie,  zvislé dopravné značky, normálny alebo zväčšený rozmer</t>
  </si>
  <si>
    <t>2225067106</t>
  </si>
  <si>
    <t>Doplňujúce konštrukcie,  zvislé dopravné značky, normálny alebo zväčšený rozmer hliníkové reflexné</t>
  </si>
  <si>
    <t>45.23.33</t>
  </si>
  <si>
    <t>Práce na spodnej stavby diaľnic, ciest, ulíc a chodníkov a nekrytých parkovísk</t>
  </si>
  <si>
    <t>22010201</t>
  </si>
  <si>
    <t>Podkladné a krycie vrstvy bez spojiva, spevnenie krajníc zo zeminy</t>
  </si>
  <si>
    <t>2201020101</t>
  </si>
  <si>
    <t>Podkladné a krycie vrstvy bez spojiva, spevnenie krajníc zo zeminy so zhutnením</t>
  </si>
  <si>
    <t>0503026102</t>
  </si>
  <si>
    <t>Odstránenie spevnených plôch vozoviek a doplňujúcich konštrukcií podkladov z betónu prostého hr. nad 100 do 200 mm</t>
  </si>
  <si>
    <t>0503026201</t>
  </si>
  <si>
    <t>Odstránenie spevnených plôch vozoviek a doplňujúcich konštrukcií podkladov bitúmenových hr.do 100 mm</t>
  </si>
  <si>
    <t>05090461</t>
  </si>
  <si>
    <t>Doplňujúce práce, diamantové rezanie betónového krytu, podkladu</t>
  </si>
  <si>
    <t>0509046204</t>
  </si>
  <si>
    <t>Doplňujúce práce, diamantové rezanie bitúmenového krytu, podkladu hr. nad 150 do 200 mm</t>
  </si>
  <si>
    <t>01010101</t>
  </si>
  <si>
    <t>Pripravné práce, odstránenie porastov travín</t>
  </si>
  <si>
    <t>0101010101</t>
  </si>
  <si>
    <t>Pripravné práce, odstránenie porastov travín na suchu</t>
  </si>
  <si>
    <t>0106020409</t>
  </si>
  <si>
    <t>Premiestnenie  vodorovné nad 3 000 m, poľnohospodárskych plodín</t>
  </si>
  <si>
    <t>ornica odvoz na medziskládku</t>
  </si>
  <si>
    <t>01060600</t>
  </si>
  <si>
    <t>Premiestnenie  prehodením</t>
  </si>
  <si>
    <t>0106060007</t>
  </si>
  <si>
    <t>Premiestnenie  výkopku resp. rúbaniny prehodením,  tr. horniny 1-4</t>
  </si>
  <si>
    <t>ošetrenie ornice každý začatý polrok</t>
  </si>
  <si>
    <t>22030330</t>
  </si>
  <si>
    <t>Podkladné a krycie vrstvy z asfaltových zmesí, bitúmenové postreky, nátery, posypy spojovací postrek</t>
  </si>
  <si>
    <t>22030640</t>
  </si>
  <si>
    <t>Podkladné a krycie vrstvy z asfaltových zmesí, bitúmenové vrstvy, asfaltový betón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</si>
  <si>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</si>
  <si>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</si>
  <si>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</si>
  <si>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</si>
  <si>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22251445</t>
  </si>
  <si>
    <t>Doplňujúce konštrukcie,  pri stavbe krytov komunikácií, výstužná vložka</t>
  </si>
  <si>
    <t>2225144501</t>
  </si>
  <si>
    <t>Doplňujúce konštrukcie,  pri stavbe krytov komunikácií, výstužná vložka, geomreža</t>
  </si>
  <si>
    <t>22010204</t>
  </si>
  <si>
    <t>Podkladné a krycie vrstvy bez spojiva, spevnenie krajníc, štrkodrva</t>
  </si>
  <si>
    <t>22020212</t>
  </si>
  <si>
    <t>Podkladné a krycie vrstvy s hydraulickým spojivom, stabilizované z miešacieho centra zmesou spojív</t>
  </si>
  <si>
    <t>22030329</t>
  </si>
  <si>
    <t>Podkladné a krycie vrstvy z asfaltových zmesí, bitúmenové postreky, nátery,posypy infiltračný postrek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</si>
  <si>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</si>
  <si>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</si>
  <si>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</si>
  <si>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</si>
  <si>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>02010553</t>
  </si>
  <si>
    <t>Zlepšovanie základovej pôdy, drenážne vrstvy z geosyntetického materiálu</t>
  </si>
  <si>
    <t>0201055301</t>
  </si>
  <si>
    <t>Zlepšovanie základovej pôdy, drenážne vrstvy z geosyntetického materiálu - geotextílií</t>
  </si>
  <si>
    <t>05030401</t>
  </si>
  <si>
    <t>Odstránenie spevnených plôch vozoviek a doplňujúcich konštrukcií zvodidiel, zábradlia, stien, oplotení z dielcov prefabrikovaných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</si>
  <si>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</si>
  <si>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</si>
  <si>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</si>
  <si>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</si>
  <si>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</si>
  <si>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</si>
  <si>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2225077602</t>
  </si>
  <si>
    <t>Doplňujúce konštrukcie,  vodorovné dopravné značenie striekané a náterové deliacich čiar</t>
  </si>
  <si>
    <t>2225077603</t>
  </si>
  <si>
    <t>Doplňujúce konštrukcie,  vodorovné dopravné značenie striekané a náterové stopčiary, zebry, šipky, atď.</t>
  </si>
  <si>
    <t>2203064004</t>
  </si>
  <si>
    <t>Podkladné a krycie vrstvy z asfaltových zmesí, bitúmenové vrstvy, asfaltový betón  triedy I modifikovaný</t>
  </si>
  <si>
    <t>22250356</t>
  </si>
  <si>
    <t>Doplňujúce konštrukcie, zvodidlá prefabrikované</t>
  </si>
  <si>
    <t>2225035602</t>
  </si>
  <si>
    <t>Doplňujúce konštrukcie, zvodidlá prefabrikované s ozubom-zámkom</t>
  </si>
  <si>
    <t>303</t>
  </si>
  <si>
    <t>22250672</t>
  </si>
  <si>
    <t>Doplňujúce konštrukcie,  zvislé dopravné značky, veľkorozmerné</t>
  </si>
  <si>
    <t>2225067206</t>
  </si>
  <si>
    <t>Doplňujúce konštrukcie,  zvislé dopravné značky, veľkorozmerné hliníkové reflexné</t>
  </si>
  <si>
    <t>02060905</t>
  </si>
  <si>
    <t>Spevňovanie hornín a konštrukcií, opláštenie, spevnenie geotextíliou a geomrežovinou</t>
  </si>
  <si>
    <t>0206090501</t>
  </si>
  <si>
    <t>Spevňovanie hornín a konštrukcií, opláštenie, spevnenie geotextíliou a geomrežovinou, sklon do 1:5</t>
  </si>
  <si>
    <t>0509036203</t>
  </si>
  <si>
    <t>Doplňujúce práce, frézovanie bitúmenového krytu, podkladu hr. 40 mm</t>
  </si>
  <si>
    <t>01020500</t>
  </si>
  <si>
    <t>Odkopávky a prekopávky zárezov so šikmými stenami</t>
  </si>
  <si>
    <t>0102050007</t>
  </si>
  <si>
    <t>Odkopávky a prekopávky zárezov so šikmými stenami, tr. horniny 1-4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</si>
  <si>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</si>
  <si>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</si>
  <si>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</si>
  <si>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</si>
  <si>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>27031176</t>
  </si>
  <si>
    <t>Kanalizácie, ostatné konštrukcie, doplnky</t>
  </si>
  <si>
    <t>2703117602</t>
  </si>
  <si>
    <t>Kanalizácie, ostatné konštrukcie, doplnky - mreže</t>
  </si>
  <si>
    <t>Doplňujúce konštrukcie,  vodorovné dopravné značenie plastové</t>
  </si>
  <si>
    <t>Doplňujúce konštrukcie,  vodorovné dopravné značenie plastové, smerové značenie</t>
  </si>
  <si>
    <t>2203033003</t>
  </si>
  <si>
    <t>Podkladné a krycie vrstvy z asfaltových zmesí, bitúmenové postreky, nátery, posypy spojovací postrek z emulzie</t>
  </si>
  <si>
    <t>2203064002</t>
  </si>
  <si>
    <t>Podkladné a krycie vrstvy z asfaltových zmesí, bitúmenové vrstvy, asfaltový betón  triedy II</t>
  </si>
  <si>
    <t>22250162</t>
  </si>
  <si>
    <t>Doplňujúce konštrukcie,  zábradlie kovové</t>
  </si>
  <si>
    <t>2225016202</t>
  </si>
  <si>
    <t>Doplňujúce konštrukcie,  zábradlie kovové, cestné</t>
  </si>
  <si>
    <t>22250980</t>
  </si>
  <si>
    <t>Doplňujúce konštrukcie,  obrubníky chodníkové</t>
  </si>
  <si>
    <t>2225098001</t>
  </si>
  <si>
    <t>Doplňujúce konštrukcie,  obrubníky chodníkové betónové</t>
  </si>
  <si>
    <t>22250981</t>
  </si>
  <si>
    <t>Doplňujúce konštrukcie,  obrubníky záhonové</t>
  </si>
  <si>
    <t>2225098101</t>
  </si>
  <si>
    <t>Doplňujúce konštrukcie,  obrubníky záhonové betónové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</si>
  <si>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</si>
  <si>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</si>
  <si>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</si>
  <si>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</si>
  <si>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22010104</t>
  </si>
  <si>
    <t>Podkladné a krycie vrstvy bez spojiva nestmelené, štrkodrva</t>
  </si>
  <si>
    <t>11200101</t>
  </si>
  <si>
    <t>Podkladné konštrukcie, podkladné vrstvy, z betónu prostého</t>
  </si>
  <si>
    <t>1120010103</t>
  </si>
  <si>
    <t>Podkladné konštrukcie, podkladné vrstvy z betónu prostého, tr. C 12/15 (B 15)</t>
  </si>
  <si>
    <t>1120010104</t>
  </si>
  <si>
    <t>Podkladné konštrukcie, podkladné vrstvy z betónu prostého, tr. C 16/20 (B 20)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</si>
  <si>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</si>
  <si>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</si>
  <si>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</si>
  <si>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</si>
  <si>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302</t>
  </si>
  <si>
    <t>305</t>
  </si>
  <si>
    <t>306</t>
  </si>
  <si>
    <t>01030302</t>
  </si>
  <si>
    <t>Hĺbené vykopávky šachiet nezapažených</t>
  </si>
  <si>
    <t>0103030207</t>
  </si>
  <si>
    <t>Hĺbené vykopávky šachiet nezapažených, tr. horniny 1-4</t>
  </si>
  <si>
    <t>45.22.11</t>
  </si>
  <si>
    <t>Stavebné práce na mostoch</t>
  </si>
  <si>
    <t>15020602</t>
  </si>
  <si>
    <t>Múry oporné, zárubné, tvárnice betónové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</si>
  <si>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</si>
  <si>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</si>
  <si>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</si>
  <si>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</si>
  <si>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</si>
  <si>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</si>
  <si>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>6101010102</t>
  </si>
  <si>
    <t>Izolácie proti vode a zemnej vlhkosti, bežných konštrukcií náterivami a tmelmi na ploche zvislej</t>
  </si>
  <si>
    <t>45.26.23</t>
  </si>
  <si>
    <t>Betonárske práce</t>
  </si>
  <si>
    <t>11010101</t>
  </si>
  <si>
    <t>Základy, pásy z betónu prostého</t>
  </si>
  <si>
    <t>11010201</t>
  </si>
  <si>
    <t>Základy, pätky z betónu prostého</t>
  </si>
  <si>
    <t>67110109</t>
  </si>
  <si>
    <t>Oplotenie  z drôteného pletiva poplastovaného</t>
  </si>
  <si>
    <t>6711010902</t>
  </si>
  <si>
    <t>Oplotenie  z drôteného pletiva poplastovaného, na stĺpiky oceľové</t>
  </si>
  <si>
    <t>31200101</t>
  </si>
  <si>
    <t>Podkladné konštrukcie pod dlažbu, štrkopiesok</t>
  </si>
  <si>
    <t>3120010101</t>
  </si>
  <si>
    <t>Podkladné konštrukcie pod dlažbu, štrkopiesok hr. do 200 mm</t>
  </si>
  <si>
    <t>22020417</t>
  </si>
  <si>
    <t>Podkladné a krycie vrstvy s hydraulickým spojivom, cementobetónové jednovrstvové, beton prostý</t>
  </si>
  <si>
    <t>1120010105</t>
  </si>
  <si>
    <t>Podkladné konštrukcie, podkladné vrstvy z betónu prostého, tr. C 20/25 (B 25)</t>
  </si>
  <si>
    <t>11200301</t>
  </si>
  <si>
    <t>Podkladné konštrukcie, dosky, bloky, sedlá, z betónu prostého</t>
  </si>
  <si>
    <t>1120030103</t>
  </si>
  <si>
    <t>Podkladné konštrukcie, dosky, bloky, sedlá z betónu prostého, tr. C 12/15 (B 15)</t>
  </si>
  <si>
    <t>11200311</t>
  </si>
  <si>
    <t>Podkladné konštrukcie, dosky, bloky, sedlá, debnenie tradičné</t>
  </si>
  <si>
    <t>1120031101</t>
  </si>
  <si>
    <t>Podkladné konštrukcie, dosky, bloky, sedlá, debnenie tradičné drevené</t>
  </si>
  <si>
    <t>0104010008</t>
  </si>
  <si>
    <t>Konštrukcie z hornín - skládky  tr horniny 5-7</t>
  </si>
  <si>
    <t>0106020402</t>
  </si>
  <si>
    <t>Premiestnenie  výkopku resp. rúbaniny, vodorovné nad 3 000 m, tr. horniny 5-7</t>
  </si>
  <si>
    <t>02010103</t>
  </si>
  <si>
    <t>Zlepšovanie základovej pôdy, výplň odvodňovacích rebier alebo trativodov kamenivom drveným</t>
  </si>
  <si>
    <t>trvalé vodorovné dopravné značenie</t>
  </si>
  <si>
    <t>0509046202</t>
  </si>
  <si>
    <t>Doplňujúce práce, diamantové rezanie bitúmenového krytu, podkladu hr nad 50 do 100 mm</t>
  </si>
  <si>
    <t>05020901</t>
  </si>
  <si>
    <t>Vybúranie konštrukcií a demontáže, rôznych predmetov z dielcov prefabrikovaných</t>
  </si>
  <si>
    <t>0503016601</t>
  </si>
  <si>
    <t>Odstránenie spevnených plôch vozoviek a doplňujúcich konštrukcií krytov dlaždených hr.do 100 mm</t>
  </si>
  <si>
    <t>05030304</t>
  </si>
  <si>
    <t>Odstránenie spevnených plôch vozoviek a doplňujúcich konštrukcií obrubníkov a krajníkov betónových</t>
  </si>
  <si>
    <t>odvoz na spoplatnenú skládku:</t>
  </si>
  <si>
    <t>27030422</t>
  </si>
  <si>
    <t>Kanalizácie, rúry plastové, PVC</t>
  </si>
  <si>
    <t>2703042204</t>
  </si>
  <si>
    <t>Kanalizácie, rúry plastové, PVC DN 200</t>
  </si>
  <si>
    <t>0201030906</t>
  </si>
  <si>
    <t>Zlepšovanie základovej pôdy, trativody kompletné z potrubia plastického DN 160 mm</t>
  </si>
  <si>
    <t>22040417</t>
  </si>
  <si>
    <t>Kryty dláždené,chodníkov komunikácií,rigolov zo zámkovej dlažby betónovej</t>
  </si>
  <si>
    <t>2204041701</t>
  </si>
  <si>
    <t>Kryty dláždené,chodníkov komunikácií,rigolov zo zámkovej dlažby betónovej hr.6 cm</t>
  </si>
  <si>
    <t>0503026401</t>
  </si>
  <si>
    <t>Odstránenie spevnených plôch vozoviek a doplňujúcich konštrukcií podkladov z kameniva hrubého drveného hr.do 100 mm</t>
  </si>
  <si>
    <t>0509046101</t>
  </si>
  <si>
    <t>Doplňujúce práce, diamantové rezanie betónového krytu, podkladu hr. do 100 mm</t>
  </si>
  <si>
    <t>01040501</t>
  </si>
  <si>
    <t>Konštrukcie z hornín - obsypy bez zhutnenia</t>
  </si>
  <si>
    <t>0104050102</t>
  </si>
  <si>
    <t>Konštrukcie z hornín  -obsypy bez zhutnenia, tr.horniny 3</t>
  </si>
  <si>
    <t>Vedenia vonkajšie, káblové (miestne siete) - ukončenie káblov celoplastových</t>
  </si>
  <si>
    <t>Vedenia vonkajšie, káblové (miestne siete) - ukončenie káblov celoplastových závermi</t>
  </si>
  <si>
    <t>Vedenia vonkajšie, káblové (miestne siete) - činnosti na kábloch</t>
  </si>
  <si>
    <t>Vedenia vonkajšie, káblové (miestne siete) - činnosti na kábloch, merania na kábloch,</t>
  </si>
  <si>
    <t>45.31.61</t>
  </si>
  <si>
    <t>Inštalovanie vonkajších osvetľovacích zariadení a osvetlenia ciest</t>
  </si>
  <si>
    <t>0502034003</t>
  </si>
  <si>
    <t>Vybúranie konštrukcií a demontáže, inštalačného vedenia a príslušenstva elektroinštalačného slaboprúdové vedenia vonkajšie</t>
  </si>
  <si>
    <t>01090301</t>
  </si>
  <si>
    <t>Pretláčanie potrubia z plastických hmôt, tr. hor. 1-4</t>
  </si>
  <si>
    <t>0109030101</t>
  </si>
  <si>
    <t>Pretláčanie potrubia z plastických hmôt, tr. hor. 1-4, DN do 200 mm</t>
  </si>
  <si>
    <t>2204041702</t>
  </si>
  <si>
    <t>Kryty dláždené,chodníkov komunikácií,rigolov  zo zámkovej dlažby betónovej hr.8 cm</t>
  </si>
  <si>
    <t>Vedenia vonkajšie, káblové (miestne siete) - ukončenie káblov celoplastových koncovkami</t>
  </si>
  <si>
    <t>0502034004</t>
  </si>
  <si>
    <t>Vybúranie konštrukcií a demontáže, inštalačného vedenia a príslušenstva elektroinštalačného slaboprúd-príslušenstvo vonkajšie</t>
  </si>
  <si>
    <t>01040401</t>
  </si>
  <si>
    <t>Konštrukcie z hornín - zásypy bez zhutnenia</t>
  </si>
  <si>
    <t>0104040107</t>
  </si>
  <si>
    <t>Konštrukcie z hornín - zásypy bez zhutnenia, tr. horniny 1-4</t>
  </si>
  <si>
    <t>01060202</t>
  </si>
  <si>
    <t>Premiestnenie  , vodorovné do 1 000 m</t>
  </si>
  <si>
    <t>0106020201</t>
  </si>
  <si>
    <t>Premiestnenie  výkopku resp. rúbaniny, vodorovné do 1 000 m, tr. horniny 1-4</t>
  </si>
  <si>
    <t>45.23.41</t>
  </si>
  <si>
    <t>Stavebné práce na stavbe železníc</t>
  </si>
  <si>
    <t>91251001</t>
  </si>
  <si>
    <t>Elektrizácia železníc - trakčné vedenie, doplňujúce konštrukcie a činnosti, žlaby a chráničky</t>
  </si>
  <si>
    <t>91251002</t>
  </si>
  <si>
    <t>Elektrizácia železníc - trakčné vedenie, doplňujúce konštrukcie a činnosti, káble</t>
  </si>
  <si>
    <t>0508020002</t>
  </si>
  <si>
    <t>Doprava vybúraných hmôt vodorovná, do 1 km</t>
  </si>
  <si>
    <t>45.22.38</t>
  </si>
  <si>
    <t>Kompletovanie a montáž prefabrikovaných konštrukcií</t>
  </si>
  <si>
    <t>15200506</t>
  </si>
  <si>
    <t>Mestský mobiliár, prístrešky MHD, dielce kovové</t>
  </si>
  <si>
    <t>22010102</t>
  </si>
  <si>
    <t>Podkladné a krycie vrstvy bez spojiva nestmelené, štrkopiesok</t>
  </si>
  <si>
    <t>9125100102</t>
  </si>
  <si>
    <t>Elektrizácia železníc - trakčné vedenie, doplňujúce konštrukcie a činnosti, žlaby a chráničky, chráničky</t>
  </si>
  <si>
    <t>0101040101</t>
  </si>
  <si>
    <t>Pripravné práce, odvedenie vody potrubím alebo žľabmi na povrchu do 100 mm</t>
  </si>
  <si>
    <t xml:space="preserve">výkop </t>
  </si>
  <si>
    <t>obsyp</t>
  </si>
  <si>
    <t>podkladný betón</t>
  </si>
  <si>
    <t>0104050203</t>
  </si>
  <si>
    <t>Konštrukcie z hornín - obsypy so zhutnením, tr.horniny 4</t>
  </si>
  <si>
    <t>fr. do 22 mm - nakupovaný materiál</t>
  </si>
  <si>
    <t>spätný zasyp a násyp (tam a späť)</t>
  </si>
  <si>
    <t>zriadenie/ odstránenie paženia</t>
  </si>
  <si>
    <t>2703117601</t>
  </si>
  <si>
    <t>Kanalizácie, ostatné konštrukcie, doplnky - poklopy</t>
  </si>
  <si>
    <t>27031175</t>
  </si>
  <si>
    <t>Kanalizácie, ostatné konštrukcie, skúšky tesnosti</t>
  </si>
  <si>
    <t>2703117501</t>
  </si>
  <si>
    <t>Kanalizácie, ostatné konštrukcie, skúšky tesnosti vodou</t>
  </si>
  <si>
    <t>31210203</t>
  </si>
  <si>
    <t>Spevnené plochy, rovnaniny z lomového kameňa</t>
  </si>
  <si>
    <t>05020342</t>
  </si>
  <si>
    <t>Vybúranie konštrukcií a demontáže, inštalačného vedenia a príslušenstva kanalizačného</t>
  </si>
  <si>
    <t>0502034204</t>
  </si>
  <si>
    <t>Vybúranie konštrukcií a demontáže, inštalačného vedenia a príslušenstva kanalizačného z plastových rúr</t>
  </si>
  <si>
    <t>odverenie čerpanej vody</t>
  </si>
  <si>
    <t>27021285</t>
  </si>
  <si>
    <t>Vodovody, ostatné montážne práce - tlakové skúšky tesnosti potrubia</t>
  </si>
  <si>
    <t>2702128501</t>
  </si>
  <si>
    <t>Vodovody, ostatné montážne práce - tlakové skúšky tesnosti potrubia vodou</t>
  </si>
  <si>
    <t>2702128503</t>
  </si>
  <si>
    <t>Vodovody, ostatné montážne práce - tlakové skúšky tesnosti potrubia, čistenie</t>
  </si>
  <si>
    <t>11250901</t>
  </si>
  <si>
    <t>Doplňujúce konštrukcie, obetónovanie potrubia, z betónu prostého</t>
  </si>
  <si>
    <t>1125090105</t>
  </si>
  <si>
    <t xml:space="preserve">čerpanie vody </t>
  </si>
  <si>
    <t>01090101</t>
  </si>
  <si>
    <t>Pretláčanie potrubia oceľového, tr. hor. 1-4</t>
  </si>
  <si>
    <t>2701128307</t>
  </si>
  <si>
    <t>Plynovody, ostatné montážne práce, doplňujúce činnosti, prepojovacie objekty</t>
  </si>
  <si>
    <t>27020531</t>
  </si>
  <si>
    <t>Vodovody, rúry liatinové, tlakové hrdlové</t>
  </si>
  <si>
    <t>91080101</t>
  </si>
  <si>
    <t>Káblové súbory, ukončenie vodičov - NN káblové spojky priame</t>
  </si>
  <si>
    <t>Káble Cu - NN zaťahovanie káblov</t>
  </si>
  <si>
    <t>Káble Cu - NN zaťahovanie káblov do chráničiek</t>
  </si>
  <si>
    <t>0503030403</t>
  </si>
  <si>
    <t>1101020105</t>
  </si>
  <si>
    <t>Základy, pätky z betónu prostého, tr. C 20/25 (B 25)</t>
  </si>
  <si>
    <t>hydroosev</t>
  </si>
  <si>
    <t>1101020106</t>
  </si>
  <si>
    <t>Základy, pätky z betónu prostého, tr. C 25/30 (B 30)</t>
  </si>
  <si>
    <t>67110500</t>
  </si>
  <si>
    <t>Oplotenie,  vráta a vrátka oplotenia</t>
  </si>
  <si>
    <t>6711050002</t>
  </si>
  <si>
    <t>Oplotenie,  vráta a vrátka oplotenia  na stĺpiky oceľové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</si>
  <si>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</si>
  <si>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</si>
  <si>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</si>
  <si>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</si>
  <si>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</si>
  <si>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</si>
  <si>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22251284</t>
  </si>
  <si>
    <t>Doplňujúce konštrukcie,  kábelovody z rúr alebo dielcov plastových</t>
  </si>
  <si>
    <t>2225128401</t>
  </si>
  <si>
    <t>Doplňujúce konštrukcie,  kábelovody z rúr alebo dielcov plastových z polyetylénu</t>
  </si>
  <si>
    <t>61010102</t>
  </si>
  <si>
    <t>Izolácie proti vode a zemnej vlhkosti, bežných konštrukcií pásmi</t>
  </si>
  <si>
    <t>6101010202</t>
  </si>
  <si>
    <t>Izolácie proti vode a zemnej vlhkosti, bežných konštrukcií pásmi na ploche zvislej</t>
  </si>
  <si>
    <t>02010221</t>
  </si>
  <si>
    <t>Zlepšovanie základovej pôdy, lôžko pre trativody a vankúše pod základy, z betónu prosteho</t>
  </si>
  <si>
    <t>02020672</t>
  </si>
  <si>
    <t>Vrty pre pilóty, tr.horniny II</t>
  </si>
  <si>
    <t>0202067206</t>
  </si>
  <si>
    <t>Vrty pre pilóty, tr.horniny II, D nad 850 do 1050 mm</t>
  </si>
  <si>
    <t>02040222</t>
  </si>
  <si>
    <t>Pilóty betónované na mieste s vytiahnutím pažnice, beton železový</t>
  </si>
  <si>
    <t>0204022203</t>
  </si>
  <si>
    <t>Pilóty betónované na mieste s vytiahnutím pažnice, beton železový C 30/37</t>
  </si>
  <si>
    <t>02040223</t>
  </si>
  <si>
    <t>Pilóty betónované na mieste s vytiahnutím pažnice, betonárska výstuž</t>
  </si>
  <si>
    <t>0204022304</t>
  </si>
  <si>
    <t>Pilóty betónované na mieste s vytiahnutím pažnice, betonárska výstuž 10 505</t>
  </si>
  <si>
    <t>Uzemňovacie a bleskozvodné vedenia - vodiče nadzemné, na povrchu FeZn</t>
  </si>
  <si>
    <t>základy</t>
  </si>
  <si>
    <t>podkladný betón C12/15</t>
  </si>
  <si>
    <t>oceľ B500B</t>
  </si>
  <si>
    <t>2125042406</t>
  </si>
  <si>
    <t>Doplňujúce konštrukcie, dilatačné zariadenia, tesnenie dilatačných škár silikónovým tmelom</t>
  </si>
  <si>
    <t>22020418</t>
  </si>
  <si>
    <t>Podkladné a krycie vrstvy s hydraulickým spojivom, cementobetónové jednovrstvové, beton železový</t>
  </si>
  <si>
    <t>2202041805</t>
  </si>
  <si>
    <t>Podkladné a krycie vrstvy s hydraulickým spojivom, cementobetónové jednovrstvové, beton železový tr. III C 25/30 (B 30)</t>
  </si>
  <si>
    <t>nakupovaný materiál</t>
  </si>
  <si>
    <t>3121020301</t>
  </si>
  <si>
    <t>Spevnené plochy, rovnaniny z lomového kameňa do 80 kg</t>
  </si>
  <si>
    <t>11010301</t>
  </si>
  <si>
    <t>Základy, dosky z betónu prostého</t>
  </si>
  <si>
    <t>2203032901</t>
  </si>
  <si>
    <t>dovoz ornice z medziskládky</t>
  </si>
  <si>
    <t>Káble Cu - NN silové ulož. v chráničkách</t>
  </si>
  <si>
    <t>Káblové súbory, ukončenie vodičov - NN káblové koncovky vonkajšie</t>
  </si>
  <si>
    <t>Káblové súbory, ukončenie vodičov - NN káblové koncovky vonkajšie viacžilové</t>
  </si>
  <si>
    <t>Káblové súbory, ukončenie vodičov - NN ukonč. vodičov v rozvádzačoch</t>
  </si>
  <si>
    <t>Uzemňovacie a bleskozvodné vedenia - vedenia v zemi FeZn</t>
  </si>
  <si>
    <t>Uzemňovacie a bleskozvodné vedenia - vedenia v zemi FeZn pásové</t>
  </si>
  <si>
    <t>45.31.62</t>
  </si>
  <si>
    <t>Inštalovanie signalizačných systémov</t>
  </si>
  <si>
    <t>nakladanie ornice na medziskládke</t>
  </si>
  <si>
    <t>45.31.55</t>
  </si>
  <si>
    <t>Inštalovanie stredného napätia</t>
  </si>
  <si>
    <t>Káble Al - VN káble silové</t>
  </si>
  <si>
    <t>Káblové súbory, ukončenie vodičov - VN káblové spojky priame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</si>
  <si>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</si>
  <si>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</si>
  <si>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</si>
  <si>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</si>
  <si>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rozbíjanie základov-stožiare</t>
  </si>
  <si>
    <t>0502034008</t>
  </si>
  <si>
    <t>Vybúranie konštrukcií a demontáže, inštalačného vedenia a príslušenstva elektroinštalačného silnoprúd-príslušenstvo vonkajšie</t>
  </si>
  <si>
    <t>0502034110</t>
  </si>
  <si>
    <t>Vybúranie konštrukcií a demontáže, inštalačného vedenia a príslušenstva stožiarov priehradových - komplet</t>
  </si>
  <si>
    <t>0503016103</t>
  </si>
  <si>
    <t>Odstránenie spevnených plôch vozoviek a doplňujúcich konštrukcií krytov cementobetónových hr. nad 200 do 300 mm</t>
  </si>
  <si>
    <t>fólia š.33cm</t>
  </si>
  <si>
    <t>bet.dosky KDII</t>
  </si>
  <si>
    <t>2202041806</t>
  </si>
  <si>
    <t>Podkladné a krycie vrstvy s hydraulickým spojivom, cementobetónové jednovrstvové, beton železový tr. IV C 30/37 (B 35)</t>
  </si>
  <si>
    <t>chráničky</t>
  </si>
  <si>
    <t>1101020104</t>
  </si>
  <si>
    <t>Základy, pätky z betónu prostého, tr. C 16/20 (B 20)</t>
  </si>
  <si>
    <t>Uzemňovacie a bleskozvodné vedenia - vodiče nadzemné, na povrchu FeZn pásové</t>
  </si>
  <si>
    <t>SR03</t>
  </si>
  <si>
    <t>Uzemňovacie a bleskozvodné vedenia - svorky pre vedenia v zemi</t>
  </si>
  <si>
    <t>Uzemňovacie a bleskozvodné vedenia - svorky pre vedenia v zemi FeZn</t>
  </si>
  <si>
    <t>SR02</t>
  </si>
  <si>
    <t>Uzemňovacie a bleskozvodné vedenia - vedenia v zemi FeZn tyčové</t>
  </si>
  <si>
    <t>Uzemňovacie a bleskozvodné vedenia - nátery zvodových vodičov</t>
  </si>
  <si>
    <t>Uzemňovacie a bleskozvodné vedenia - nátery zvodových vodičov 1 x základný, 2 x krycí</t>
  </si>
  <si>
    <t>Oceľové konštrukcie - príchytky pre káble</t>
  </si>
  <si>
    <t>Káble Al - VN káble silové ulož. pevne</t>
  </si>
  <si>
    <t>Káble Al - VN káble silové ulož. v chráničkách</t>
  </si>
  <si>
    <t>Káble Al - VN zväzkovanie káblov</t>
  </si>
  <si>
    <t>Káble Al - VN zväzkovanie káblov jednožilových</t>
  </si>
  <si>
    <t>páska zväzkovacia</t>
  </si>
  <si>
    <t>Káble Al - VN zaťahovanie káblov</t>
  </si>
  <si>
    <t>Káble Al - VN zaťahovanie káblov do chráničiek</t>
  </si>
  <si>
    <t>Káblové súbory, ukončenie vodičov - VN káblové spojky priame jednožilové</t>
  </si>
  <si>
    <t>spätné zásypy rýh a jám vykopanou zeminou</t>
  </si>
  <si>
    <t>pieskové lôžko fr.0-4</t>
  </si>
  <si>
    <t>0109030102</t>
  </si>
  <si>
    <t>Pretláčanie potrubia z plastických hmôt, tr. hor. 1-4, DN nad 200 do 400 mm</t>
  </si>
  <si>
    <t>Káble Al - NN káble silové</t>
  </si>
  <si>
    <t>Káble Al - NN zaťahovanie káblov</t>
  </si>
  <si>
    <t>Káble Al - NN zaťahovanie káblov do chráničiek</t>
  </si>
  <si>
    <t>zaťahovanie do rúr</t>
  </si>
  <si>
    <t>Káblové súbory, ukončenie vodičov - NN káblové spojky priame viacžilové</t>
  </si>
  <si>
    <t>01010201</t>
  </si>
  <si>
    <t>Pripravné práce, rúbanie stromov</t>
  </si>
  <si>
    <t>0101020101</t>
  </si>
  <si>
    <t>Pripravné práce, rúbanie stromov priemer do 50 cm</t>
  </si>
  <si>
    <t>01010202</t>
  </si>
  <si>
    <t>Pripravné práce, rúbanie odstránenie pňov</t>
  </si>
  <si>
    <t>0101020201</t>
  </si>
  <si>
    <t>Pripravné práce, rúbanie odstránenie pňov priemer do 50 cm</t>
  </si>
  <si>
    <t>11010211</t>
  </si>
  <si>
    <t>Základy, pätky, debnenie tradičné</t>
  </si>
  <si>
    <t>1101021101</t>
  </si>
  <si>
    <t>Základy, pätky, debnenie tradičné drevené</t>
  </si>
  <si>
    <t>Spínacie, spúšťacie a regulačné ústrojenstvá - revízie, nastavenie a vyskúšanie prístrojov</t>
  </si>
  <si>
    <t>Spínacie, spúšťacie a regulačné ústrojenstvá - revízie, nastavenie a vyskúšanie prístrojov NN</t>
  </si>
  <si>
    <t>NA2XS(F)2Y 1x240RM/25 12,7/22kV</t>
  </si>
  <si>
    <t>NA2XS(F)2Y 1x240RM/25 12,7/22kV,3*80m</t>
  </si>
  <si>
    <t>Oceľové konštrukcie - príchytky pre káble, kovové</t>
  </si>
  <si>
    <t>Prístroje istiace, skrine poistkové</t>
  </si>
  <si>
    <t>Prístroje istiace, skrine poistkové na stožiar</t>
  </si>
  <si>
    <t>Rozvádzače - NN  rozpojovacie a istiace skrine</t>
  </si>
  <si>
    <t>Rozvádzače - NN  rozpojovacie a istiace skrine silové, prúd striedavý</t>
  </si>
  <si>
    <t xml:space="preserve"> </t>
  </si>
  <si>
    <t>Káble Cu - NN káble silové ulož. v chráničkách</t>
  </si>
  <si>
    <t>príslušenstvo</t>
  </si>
  <si>
    <t>0104040102</t>
  </si>
  <si>
    <t>Konštrukcie z hornín - zásypy bez zhutnenia, tr.horniny 3</t>
  </si>
  <si>
    <t>Káble Cu - NN silové ulož. voľne</t>
  </si>
  <si>
    <t>Káble Al - NN káble silové ulož. voľne</t>
  </si>
  <si>
    <t>Káblové súbory, ukončenie vodičov - NN káblové koncovky staničné</t>
  </si>
  <si>
    <t>Káblové súbory, ukončenie vodičov - NN káblové koncovky staničné viacžilové</t>
  </si>
  <si>
    <t>Rozvádzače - NN  rozvodnice</t>
  </si>
  <si>
    <t>Rozvádzače - NN  rozvodnice silové, prúd striedavý</t>
  </si>
  <si>
    <t>RE - elektromerový rozvádzač v zmysle schémy zapojenia</t>
  </si>
  <si>
    <t>Úložný materiál - rúrky ochranné, ulož. voľne, ohybné</t>
  </si>
  <si>
    <t>Úložný materiál - rúrky ochranné, ulož. voľne, ohybné plastové</t>
  </si>
  <si>
    <t>zemniaca tyč ZT2-D20/2m</t>
  </si>
  <si>
    <t>chránička HDPE DN160mm</t>
  </si>
  <si>
    <t>1101010105</t>
  </si>
  <si>
    <t>Základy, pásy z betónu prostého, tr. C 20/25 (B 25)</t>
  </si>
  <si>
    <t>zaťahovanie káblov do 6 kg</t>
  </si>
  <si>
    <t>Káble CU - NN silové</t>
  </si>
  <si>
    <t>Svietidlá a osvetľovacie zariadenia - stožiare osvetľovacie</t>
  </si>
  <si>
    <t>Svietidlá a osvetľovacie zariadenia - stožiare osvetľovacie oceľové</t>
  </si>
  <si>
    <t>Svietidlá a osvetľovacie zariadenia - príslušenstvo pre stožiare</t>
  </si>
  <si>
    <t>Svietidlá a osvetľovacie zariadenia - príslušenstvo pre stožiare, stožiarové rozvodnice</t>
  </si>
  <si>
    <t>Uzemňovacie a bleskozvodné vedenia - vedenia v zemi FeZn drôtové</t>
  </si>
  <si>
    <t>Vedenia vonkajšie, káblové (miestne siete) - objímky značkovacie</t>
  </si>
  <si>
    <t>Vedenia vonkajšie, káblové (miestne siete) - objímky značkovacie na káble</t>
  </si>
  <si>
    <t>Vedenia vonkajšie, káblové (miestne siete) - káble miestne oznamovacie</t>
  </si>
  <si>
    <t>Vedenia vonkajšie, káblové (miestne siete) - káble miestne oznamovacie ulož. v chráničkách</t>
  </si>
  <si>
    <t>Vedenia vonkajšie, káblové (miestne siete) - činnosti na kábloch, zatiahnutie káblov do objektu</t>
  </si>
  <si>
    <t>45.31.40</t>
  </si>
  <si>
    <t>Inštalovanie telekomunikačných zariadení</t>
  </si>
  <si>
    <t>Svietidlá a osvetľovacie zariadenia - dopravné značky svetelné</t>
  </si>
  <si>
    <t>2701128306</t>
  </si>
  <si>
    <t>Plynovody, ostatné montážne práce, doplňujúce činnosti, ostrý prepoj</t>
  </si>
  <si>
    <t>doska na zakrytie kábla: 60m</t>
  </si>
  <si>
    <t>chránička HDPE DN110mm</t>
  </si>
  <si>
    <t>Káble Cu - NN káble silové ulož. voľne</t>
  </si>
  <si>
    <t>do 4x25 mm2</t>
  </si>
  <si>
    <t>do 4x240 mm2</t>
  </si>
  <si>
    <t>SJ02</t>
  </si>
  <si>
    <t>pásik FeZn 30x4mm</t>
  </si>
  <si>
    <t>káblové lôžko (piesok): (0,5*0,2*1305)</t>
  </si>
  <si>
    <t>kábel 1-NAYY-J  4x25 mm2</t>
  </si>
  <si>
    <t>do 4x35mm2</t>
  </si>
  <si>
    <t>Svietidlá a osvetľovacie zariadenia - svietidlá priemyselné</t>
  </si>
  <si>
    <t>páska FeZn 30x4mm</t>
  </si>
  <si>
    <t>rúrka ohybná HDPE DN110</t>
  </si>
  <si>
    <t>11010221</t>
  </si>
  <si>
    <t>Základy, pätky, výstuž z betonárskej ocele</t>
  </si>
  <si>
    <t>Vedenia vonkajšie, káblové (miestne siete) - činnosti na kábloch, číslovanie káblov</t>
  </si>
  <si>
    <t>91010201</t>
  </si>
  <si>
    <t>Úložný materiál - rúrky elektroinšt., ulož. voľne, ohybné</t>
  </si>
  <si>
    <t>9101020101</t>
  </si>
  <si>
    <t>Úložný materiál - rúrky elektroinšt., ulož. voľne, ohybné plastové</t>
  </si>
  <si>
    <t>0503026103</t>
  </si>
  <si>
    <t>Odstránenie spevnených plôch vozoviek a doplňujúcich konštrukcií podkladov z betónu prostého hr. nad 200 do 300 mm</t>
  </si>
  <si>
    <t>0509036205</t>
  </si>
  <si>
    <t>Doplňujúce práce, frézovanie bitúmenového krytu, podkladu hr. 60 mm</t>
  </si>
  <si>
    <t>2202041704</t>
  </si>
  <si>
    <t>Podkladné a krycie vrstvy s hydraulickým spojivom, cementobetónové jednovrstvové, beton prostý tr. III C 20/25 (B 25)</t>
  </si>
  <si>
    <t>2225128403</t>
  </si>
  <si>
    <t>Doplňujúce konštrukcie,  kábelovody z rúr alebo dielcov plastových z PVC</t>
  </si>
  <si>
    <t>Vedenia vonkajšie, káblové (miestne siete) - káble miestne návestné</t>
  </si>
  <si>
    <t>Vedenia vonkajšie, káblové (miestne siete) - káble miestne návestné ulož. v chráničkách</t>
  </si>
  <si>
    <t>Vedenia vonkajšie, káblové (miestne siete) - činnosti na kábloch, príprava káblov</t>
  </si>
  <si>
    <t>31050409</t>
  </si>
  <si>
    <t>Potrubie, filtračný obal z geotextílie</t>
  </si>
  <si>
    <t>11010402</t>
  </si>
  <si>
    <t>Základy, múry z betónu železového</t>
  </si>
  <si>
    <t>1101040207</t>
  </si>
  <si>
    <t>Základy, múry z betónu železového, tr. C 30/37 (B 35)</t>
  </si>
  <si>
    <t>11010411</t>
  </si>
  <si>
    <t>Základy, múry, debnenie tradičné</t>
  </si>
  <si>
    <t>1101041101</t>
  </si>
  <si>
    <t>Základy, múry, debnenie tradičné drevené</t>
  </si>
  <si>
    <t>11010421</t>
  </si>
  <si>
    <t>Základy, múry, výstuž z betonárskej ocele</t>
  </si>
  <si>
    <t>1101042106</t>
  </si>
  <si>
    <t>Základy, múry, výstuž z betonárskej ocele 10505</t>
  </si>
  <si>
    <t>22040317</t>
  </si>
  <si>
    <t>Kryty dláždené,chodníkov komunikácií,rigolov z dlaždíc betónových</t>
  </si>
  <si>
    <t>Premiestnenie, vodorovné do 100 m</t>
  </si>
  <si>
    <t>11010202</t>
  </si>
  <si>
    <t>Základy, pätky z betónu železového</t>
  </si>
  <si>
    <t>1101020208</t>
  </si>
  <si>
    <t>Základy, pätky z betónu železového, tr. C 35/45 (B 45)</t>
  </si>
  <si>
    <t>1101022106</t>
  </si>
  <si>
    <t>Základy, pätky, výstuž z betonárskej ocele 10505</t>
  </si>
  <si>
    <t>11010213</t>
  </si>
  <si>
    <t>Základy, pätky, debnenie zabudované</t>
  </si>
  <si>
    <t>11090102</t>
  </si>
  <si>
    <t>Schodiskové konštrukcie kompletné, z betónu železového</t>
  </si>
  <si>
    <t>11090111</t>
  </si>
  <si>
    <t>Schodiskové konštrukcie kompletné, debnenie tradičné</t>
  </si>
  <si>
    <t>1109011101</t>
  </si>
  <si>
    <t>Schodiskové konštrukcie kompletné, debnenie tradičné drevené</t>
  </si>
  <si>
    <t>11090121</t>
  </si>
  <si>
    <t>Schodiskové konštrukcie kompletné, výstuž z betonárskej ocele</t>
  </si>
  <si>
    <t>1109012107</t>
  </si>
  <si>
    <t>Schodiskové konštrukcie kompletné, výstuž z betonárskej ocele zo zváraných sietí</t>
  </si>
  <si>
    <t>svorka FeZn, SR02</t>
  </si>
  <si>
    <t>Uzemňovacie a bleskozvodné vedenia - vedenia v zemi FeZn rúrové</t>
  </si>
  <si>
    <t>15200206</t>
  </si>
  <si>
    <t>Mestský mobiliár, nádoby na odpad, dielce kovové</t>
  </si>
  <si>
    <t>Mestský mobiliár, prístrešok informácií, z dielcov kovových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</si>
  <si>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</si>
  <si>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</si>
  <si>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</si>
  <si>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</si>
  <si>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Odstránenie spevnených plôch vozoviek a doplňujúcich konštrukcií obrubníkov a krajníkov betónových záhonových</t>
  </si>
  <si>
    <t>0101020102</t>
  </si>
  <si>
    <t>Pripravné práce, rúbanie stromov priemer do 90 cm</t>
  </si>
  <si>
    <t>0101020202</t>
  </si>
  <si>
    <t>Pripravné práce, rúbanie odstránenie pňov priemer do 90 cm</t>
  </si>
  <si>
    <t>zemina z pilót</t>
  </si>
  <si>
    <t>22250466</t>
  </si>
  <si>
    <t>Doplňujúce konštrukcie,  ochranné zariadenia, dopravné zrkadlá</t>
  </si>
  <si>
    <t>- vrátane povrchovej úpravy v zmysle PD</t>
  </si>
  <si>
    <t>- vrátane kotvenia</t>
  </si>
  <si>
    <t>22250675</t>
  </si>
  <si>
    <t>Doplňujúce konštrukcie,  zvislé dopravné značky, portály</t>
  </si>
  <si>
    <t>2225067501</t>
  </si>
  <si>
    <t>Doplňujúce konštrukcie,  zvislé dopravné značky, portály oceľové</t>
  </si>
  <si>
    <t>(hmotnosť vrátane kotvenia a spojovacieho materiálu)</t>
  </si>
  <si>
    <t>Kryty dláždené,chodníkov komunikácií,rigolov - úprava škár pri opravách  asfaltovou zálievkou</t>
  </si>
  <si>
    <t>0106020405</t>
  </si>
  <si>
    <t>Premiestnenie  vodorovné nad 3 000 m, konárov</t>
  </si>
  <si>
    <t>0106020406</t>
  </si>
  <si>
    <t>Premiestnenie  vodorovné nad 3 000 m, kmeňov</t>
  </si>
  <si>
    <t>0106020407</t>
  </si>
  <si>
    <t>Premiestnenie  vodorovné nad 3 000 m, pňov</t>
  </si>
  <si>
    <t>22250785</t>
  </si>
  <si>
    <t>2225078504</t>
  </si>
  <si>
    <t>201</t>
  </si>
  <si>
    <t>202</t>
  </si>
  <si>
    <t>501</t>
  </si>
  <si>
    <t>502</t>
  </si>
  <si>
    <t>611</t>
  </si>
  <si>
    <t>631</t>
  </si>
  <si>
    <t>671</t>
  </si>
  <si>
    <t>672</t>
  </si>
  <si>
    <t>673</t>
  </si>
  <si>
    <t>674</t>
  </si>
  <si>
    <t>675</t>
  </si>
  <si>
    <t>676</t>
  </si>
  <si>
    <t>677</t>
  </si>
  <si>
    <t>682</t>
  </si>
  <si>
    <t>683</t>
  </si>
  <si>
    <t>685</t>
  </si>
  <si>
    <t>686</t>
  </si>
  <si>
    <t>688</t>
  </si>
  <si>
    <t>Časť stavby</t>
  </si>
  <si>
    <t>Názov objektu</t>
  </si>
  <si>
    <r>
      <t xml:space="preserve">Zoznam objektov </t>
    </r>
    <r>
      <rPr>
        <sz val="12"/>
        <color theme="1"/>
        <rFont val="Arial CE"/>
        <family val="2"/>
        <charset val="238"/>
      </rPr>
      <t>(klikni na odkaz v zozname!)</t>
    </r>
  </si>
  <si>
    <t>001 Príprava územia</t>
  </si>
  <si>
    <t>00000104</t>
  </si>
  <si>
    <t xml:space="preserve">Dopravné značenie - dočasné </t>
  </si>
  <si>
    <t>zvislé dopravné značky dočasné základného rozmeru/formátu - zriadenie/odstránenie</t>
  </si>
  <si>
    <t>vegetačný kryt</t>
  </si>
  <si>
    <t>stromy</t>
  </si>
  <si>
    <t>odstránenie panelov hr. 180 mm</t>
  </si>
  <si>
    <t>odstránenie nestmelená vrstva z štrkodrviny fr. 0-63 hr. 150 mm - po zrušení zariadení staveniska vrátane separačnej geotextílie</t>
  </si>
  <si>
    <t>odstránenie nestmelená vrstva z štrkodrviny fr. 0-63 hr. 180 mm - po zrušení zariadení staveniska</t>
  </si>
  <si>
    <t>odstránenie panelov hr. 180 mm: 900,00 m2*0,397 t/m2</t>
  </si>
  <si>
    <t>odstránenie nestmelená vrstva z štrkodrviny fr. 0-63 hr. 150 mm - po zrušení zariadení staveniska vrátane separačnej geotextílie: 950,00 m2*0,235 t/m2</t>
  </si>
  <si>
    <t>odstránenie nestmelená vrstva z štrkodrviny fr. 0-63 hr. 180 mm - po zrušení zariadení staveniska: 400,00 m2*0,235 t/m2</t>
  </si>
  <si>
    <t>odstránenie vegetačného krytu hr. 150 mm</t>
  </si>
  <si>
    <t xml:space="preserve">odstránenie krovín </t>
  </si>
  <si>
    <t>priemeru do 50 cm</t>
  </si>
  <si>
    <t>priemeru do 90 cm</t>
  </si>
  <si>
    <t>odstránenie krovín: 164,00 m2*0,5 m3/m2</t>
  </si>
  <si>
    <t>priemeru do 50 cm: 494 ks*0,76 m3/ks</t>
  </si>
  <si>
    <t>priemeru do 90 cm: 1 ks*3,46 m3/ks</t>
  </si>
  <si>
    <t>priemeru do 50 cm: 494 ks*1,50 m3/ks</t>
  </si>
  <si>
    <t>priemeru do 90 cm: 1 ks*6,92 m3/ks</t>
  </si>
  <si>
    <t>priemeru do 50 cm: 494 ks*1,00 m3/ks</t>
  </si>
  <si>
    <t>priemeru do 90 cm: 1 ks*2,50 m3/ks</t>
  </si>
  <si>
    <t>odvoz vegetačného krytu hr. 150 mm s naložením: 0,15*1400,00</t>
  </si>
  <si>
    <t>dovoz ornice z medziskládky z SO 001</t>
  </si>
  <si>
    <t>dovoz ornice z medziskládky z SO sietí</t>
  </si>
  <si>
    <t>ručné založenie trávnika za múrom</t>
  </si>
  <si>
    <t>odstránie humoznej vrstvy hr. 150 mm</t>
  </si>
  <si>
    <t>dorovnanie terénu z vykopanej zeminy na mieste a z SO122</t>
  </si>
  <si>
    <t xml:space="preserve">dosypávky krajníc - nenamŕzavý materiál + zhutnenie </t>
  </si>
  <si>
    <t>úprava pláne vozvoky</t>
  </si>
  <si>
    <t>svahovanie vo výkope</t>
  </si>
  <si>
    <t>svahovanie v násype</t>
  </si>
  <si>
    <t>dovoz vykopanej zeminy z medziskládky</t>
  </si>
  <si>
    <t>naloženie zeminy z medziskládky pre spätné použitie do násypu</t>
  </si>
  <si>
    <t>cestné panely 2000x3000x180</t>
  </si>
  <si>
    <t>nestmelená vrstva z štrkodrivny fr. 0-63 hr. 150 mm: 0,15*950,00</t>
  </si>
  <si>
    <t>nestmelená vrstva z štrkodrivny fr. 0-63 hr. 180 mm: 0,18*400,00</t>
  </si>
  <si>
    <t>spevnenie krajníc štrkodrvinou fr. 16-32 hr. 100 mm + zhutnenie: 0,10*950,00</t>
  </si>
  <si>
    <t>separačná netkaná getoextília</t>
  </si>
  <si>
    <t>001</t>
  </si>
  <si>
    <t>Príprava územia</t>
  </si>
  <si>
    <t>121 Úprava komunikácií a chodníkov Mlynská dolina, smer Riviéra</t>
  </si>
  <si>
    <t>zvislé dopravné značky dočasné - zriadenie/odstránenie</t>
  </si>
  <si>
    <t>1. etapa - 12 mesiacov</t>
  </si>
  <si>
    <t>706-30 ....vodiaca tabuľa (neutrálna orientácia, mimo diaľnice, 750 x 500 mm) ....  280 ks</t>
  </si>
  <si>
    <t>rôzne DDZ .... 50 ks</t>
  </si>
  <si>
    <t>stĺpiky s podstavcami .... 280+40=320 ks</t>
  </si>
  <si>
    <t>2. etapa - 5 mesiacov</t>
  </si>
  <si>
    <t>706-30 ....vodiaca tabuľa (neutrálna orientácia, mimo diaľnice, 750 x 500 mm) ....  120 ks</t>
  </si>
  <si>
    <t>rôzne DDZ .... 25 ks</t>
  </si>
  <si>
    <t>stĺpiky s podstavcami .... 120+20=140 ks</t>
  </si>
  <si>
    <t>3. etapa - 1 mesiac</t>
  </si>
  <si>
    <t>706-30 .... vodiaca tabuľa (neutrálna orientácia, mimo diaľnice, 750 x 500 mm) .... 15 ks</t>
  </si>
  <si>
    <t>rôzne DDZ .... 10 ks</t>
  </si>
  <si>
    <t>stĺpiky s podstavcami .... 15+10=25 ks</t>
  </si>
  <si>
    <t>4. etapa - 1 mesiac</t>
  </si>
  <si>
    <t>5. etapa - 1 mesiac</t>
  </si>
  <si>
    <t>6. etapa - 2 mesiace</t>
  </si>
  <si>
    <t>706-30 .... vodiaca tabuľa (neutrálna orientácia, mimo diaľnice, 750 x 500 mm) .... 30 ks</t>
  </si>
  <si>
    <t>stĺpiky s podstavcami .... 30+10=40 ks</t>
  </si>
  <si>
    <t>dopravné zariadenia dočasné - zriadenie/odstránenie</t>
  </si>
  <si>
    <t>701-50 .... zábrana na označenie uzávierky .... 4 ks</t>
  </si>
  <si>
    <t>VS1 blikače .... 35 ks</t>
  </si>
  <si>
    <t>2. etapa - 10 mesiacov</t>
  </si>
  <si>
    <t>VS1 blikače .... 20 ks</t>
  </si>
  <si>
    <t>oceľové platne pri rozkopávkach - 1500x3000 - 11 ks - 2 mesiace nájom</t>
  </si>
  <si>
    <t>oceľové platne pri rozkopávkach - 1500x3000 - 8 ks - 1 mesiac nájom</t>
  </si>
  <si>
    <t>zapožičanie vozíka od NDS - so šípkou - 2 ks - nájom 8 mesiacov</t>
  </si>
  <si>
    <t>zapožičanie vozíka od NDS - s informáciou o obmedzení dopravy, premenlivý text  - 4 ks - nájom 8 mesiacov</t>
  </si>
  <si>
    <t>vodorovné dopravné značenie dočasné - zriadenie/odstránenie</t>
  </si>
  <si>
    <t>601-50 .... pozdĺžna súvislá čiara (vonkajšia okrajová – tenká)  oranžová š=0,12 m .... 150 m ..... 18,00 m2</t>
  </si>
  <si>
    <t>601-50 .... pozdĺžna súvislá čiara (vonkajšia okrajová – tenká)  oranžová š=0,12 m .... 70 m ..... 8,40 m2</t>
  </si>
  <si>
    <t>búranie betónového krytu poľnej vozovky hr. 200 mm</t>
  </si>
  <si>
    <t>búranie betónového krytu betónovej vozovky hr. 250 mm</t>
  </si>
  <si>
    <t>odstránenie existujúcej bet. dlažby - pre nevidiacich a slabozrakých chodníka hr. 60 mm</t>
  </si>
  <si>
    <t>odstránenie existujúcej bet. dlažby chodníka hr. 80 mm</t>
  </si>
  <si>
    <t>odstránenie existujúcej betónovej prídlažby hr. 100 mm vrátane bet. lôžka</t>
  </si>
  <si>
    <t>odstránenie podkladného betónu chodníka hr. 100 mm</t>
  </si>
  <si>
    <t>odstránenie cementom stmelenej zmesy CBGM C5/6 hr. 170 mm vozovky</t>
  </si>
  <si>
    <t>odstránenie asfaltových podkladných vrstiev vozovky hr. 170 mm</t>
  </si>
  <si>
    <t>odstránenie lôžka z drveného kameniva fr. 4/8 pod dlažbu chodníka hr. 40 mm</t>
  </si>
  <si>
    <t>odstránenie nestmelená vrstva z štrkodrviny UM ŠD; 0/31,5 Gc hr. 200 mm vozoviek</t>
  </si>
  <si>
    <t>odstránenie nestmelená vrstva z štrkodrviny UM ŠD; 0/31,5 Gc min. 150 mm, hr. 150 mm chodníka</t>
  </si>
  <si>
    <t>odstránenie existujúcich kamenných obrubníkov, vrátane bet. lôžka</t>
  </si>
  <si>
    <t>0503030401</t>
  </si>
  <si>
    <t>Odstránenie spevnených plôch vozoviek a doplňujúcich konštrukcií obrubníkov a krajníkov betónových ležatých</t>
  </si>
  <si>
    <t>odstránenie existujúcich cestný betónových obrubníkov vrátane bet. lôžka</t>
  </si>
  <si>
    <t>odstránenie existujúcich záhonový betónových obrubníkov vrátane bet. lôžka</t>
  </si>
  <si>
    <t>odstránenie trvalého dopravného značenia základného tvaru komplet</t>
  </si>
  <si>
    <t>odstránenie trvalého dopravného značenia veľkorozmerných rozmerov komplet (2,5x1,5m)</t>
  </si>
  <si>
    <t>búranie betónového krytu poľnej vozovky hr. 200 mm: 53,00 m2*0,44 t/m2</t>
  </si>
  <si>
    <t>búranie betónového krytu betónovej vozovky hr. 250 mm: 240,00 m2*0,66 t/m2</t>
  </si>
  <si>
    <t>odstránenie existujúcej bet. dlažby - pre nevidiacich a slabozrakých chodníka hr. 60 mm: 115,00 m*0,288 t/m2</t>
  </si>
  <si>
    <t>odstránenie existujúcej bet. dlažby chodníka hr. 80 mm: 175,00 m2*0,288 t/m2</t>
  </si>
  <si>
    <t>odstránenie existujúcej betónovej prídlažby hr. 100 mm vrátane bet. lôžka: 48,00 m2*0,288 t/m2</t>
  </si>
  <si>
    <t>odstránenie podkladného betónu chodníka hr. 100 mm: 6959,00 m2*0,22 t/m2</t>
  </si>
  <si>
    <t>odstránenie cementom stmelenej zmesy CBGM C5/6 hr. 170 mm vozovky: 565,00 m2*0,44 t/m2</t>
  </si>
  <si>
    <t>odstránenie asfaltových podkladných vrstiev vozovky hr. 170 mm: 360,00 m2*0,45 t/m2</t>
  </si>
  <si>
    <t>odstránenie lôžka z drveného kameniva fr. 4/8 pod dlažbu chodníka hr. 40 mm: 290,00 m2*0,13 t/m2</t>
  </si>
  <si>
    <t>odstránenie nestmelená vrstva z štrkodrviny UM ŠD; 0/31,5 Gc hr. 200 mm vozoviek: 618,00 m2*0,235 t/m2</t>
  </si>
  <si>
    <t>odstránenie nestmelená vrstva z štrkodrviny UM ŠD; 0/31,5 Gc min. 150 mm, hr. 150 mm chodníka: 5567,20 m2*0,235 t/m2</t>
  </si>
  <si>
    <t>odstránenie existujúcich kamenných obrubníkov, vrátane bet. lôžka: 7,00 m*0,24 t/m</t>
  </si>
  <si>
    <t>odstránenie existujúcich cestný betónových obrubníkov vrátane bet. lôžka: 480,00 m*0,23 t/m</t>
  </si>
  <si>
    <t>odstránenie existujúcich záhonový betónových obrubníkov vrátane bet. lôžka: 1688,00 m*0,04 t/m</t>
  </si>
  <si>
    <t>frézovanie asfaltových vrstiev chodníka červeného hr. 20 mm: 4219,00 m2*0,051 t/m2</t>
  </si>
  <si>
    <t>frézovanie asfaltových vrstiev chodníka čierneho hr. 40 mm: 2450,00 m2*0,102 t/m2</t>
  </si>
  <si>
    <t>frézovanie asfaltového krytu vozovky, frézovanie hr. 60 mm: 2550,00 m2*0,153 t/m2</t>
  </si>
  <si>
    <t>odstránenie trvalého dopravného značenia základného tvaru komplet: 12,00 ks*0,082 t/ks</t>
  </si>
  <si>
    <t>odstránenie trvalého dopravného značenia veľkorozmerných rozmerov komplet (2,5x1,5m): 6,00 ks*0,082 t/ks</t>
  </si>
  <si>
    <t>0509036201</t>
  </si>
  <si>
    <t>Doplňujúce práce, frézovanie bitúmenového krytu, podkladu hr. 20 mm</t>
  </si>
  <si>
    <t>frézovanie asfaltových vrstiev chodníka červeného hr. 20 mm</t>
  </si>
  <si>
    <t>frézovanie asfaltových vrstiev chodníka čierneho hr. 40 mm</t>
  </si>
  <si>
    <t>frézovanie asfaltového krytu vozovky, frézovanie hr. 60 mm</t>
  </si>
  <si>
    <t>zarezanie prídlažby hr. 100 mm</t>
  </si>
  <si>
    <t>0509046104</t>
  </si>
  <si>
    <t>Doplňujúce práce, diamantové rezanie betónového krytu, podkladu hr. nad 200 do 250 mm</t>
  </si>
  <si>
    <t>zarezanie betónového krytu hr. 250 mm</t>
  </si>
  <si>
    <t>zarezanie asfaltu pred zálievkou hr. 40 mm</t>
  </si>
  <si>
    <t>zarezanie asfaltu hr. 60 mm</t>
  </si>
  <si>
    <t>zarezanie asfaltu hr. 170 mm</t>
  </si>
  <si>
    <t>odstránenie vegetačného krytu hr. 100 mm</t>
  </si>
  <si>
    <t>odvoz vegetačného krytu hr. 100 mm s naložením: 0,10*2465,00</t>
  </si>
  <si>
    <t xml:space="preserve">dovoz ornice z medziskládky </t>
  </si>
  <si>
    <t>zahumusovanie hr. 150 mm</t>
  </si>
  <si>
    <t>0108050203</t>
  </si>
  <si>
    <t>Povrchové úpravy terénu, úpravy povrchov založením trávnika ručne, parkového</t>
  </si>
  <si>
    <t>založenie trávnika ručne</t>
  </si>
  <si>
    <t>odstránie humoznej vrstvy hr. 150 mm: 2465,00*0,15</t>
  </si>
  <si>
    <t>úprava pláne chodníka</t>
  </si>
  <si>
    <t>601-50  Pozdĺžna súvislá čiara (vonkajšia okrajová – tenká) h=0,12m ... plná ... 0,12*286,00</t>
  </si>
  <si>
    <t>601-51  Pozdĺžna súvislá čiara (vonkajšia okrajová – hrubá) h=0,25m ... plná ... 0,25*582,00</t>
  </si>
  <si>
    <t>601-60  Pozdĺžna súvislá čiara  (stredová) h=0,12m ... plná ... 0,12*92,00</t>
  </si>
  <si>
    <t>602-55 ... Pozdĺžna prerušovaná čiara  (vnútorná okrajová) h=0,25m ... 1,5/1,5 ... 0,25*427,00/2</t>
  </si>
  <si>
    <t>602-70  Pozdĺžna prerušovaná čiara (vodiaca) h=0,12m ... 3/3 ... 0,12*167,00/2</t>
  </si>
  <si>
    <t>602-70  Pozdĺžna prerušovaná čiara (vodiaca) h=0,12m ... 3/6 ... 0,12*1839,00/3</t>
  </si>
  <si>
    <t>602-71  Pozdĺžna prerušovaná čiara (vodiaca varovná) h=0,12m ... 3/1,5 ... 0,12*153,00*(3/1,5)</t>
  </si>
  <si>
    <t>601-75 ... Pozdĺžna súvislá čiara (deliaca) h=0,25m ...  0,25*53,00</t>
  </si>
  <si>
    <t>602-75 ... Pozdĺžna prerušovaná čiara (deliaca – hrubá) h=0,25m ...  3/3 ... 0,25*49,00/2</t>
  </si>
  <si>
    <t>604 ... STOP čiara h=0,5m ...  0,5*26,00</t>
  </si>
  <si>
    <t>610-50 ... Priechod pre chodcov (vedený kolmo na os vozovky) ...  0,5 h=4,00 m ... 17,00*4/2</t>
  </si>
  <si>
    <t xml:space="preserve">620-50 ... Vyšrafovaný priestor (obojstranný obchádzaný protismerne) </t>
  </si>
  <si>
    <t xml:space="preserve">620-51 ... Vyšrafovaný priestor (obojstranný obchádzaný neprotismerne) </t>
  </si>
  <si>
    <t>621-61 ... Cikcak čiara (prerušovaná: zastávka autobusu alebo trolejbusu, dĺžka 14 – 18 m) h=0,12 ... 19m*0,12  BUS nápis 4,9m2 ...  0,12*22,60+4,90*1</t>
  </si>
  <si>
    <t>621-62 ... Cikcak čiara  (prerušovaná: zastávka autobusu alebo trolejbusu, dĺžka ≥ 18 m) h=0,12 ... 41 m cik cak čiara,3x BUS nápis 4,9m2 ...  0,12*41,00+4,90*3</t>
  </si>
  <si>
    <t>630-10 ... Smerová šípka (doľava) ... 1*1,15 m2, dĺžka 5 m, 10 ks ...  1*1,15*10</t>
  </si>
  <si>
    <t>630-12 ... Smerová šípka (doľava a priamo) ... 1*1,53 m2, dĺžka 5 m, 5 ks ...  1*1,53*5</t>
  </si>
  <si>
    <t>630-20 ... Smerová šípka (doprava) ... 1*1,15 m2, dĺžka 5 m, 5 ks ...  1*1,15*5</t>
  </si>
  <si>
    <t>630-22 ... Smerová šípka (doprava a priamo) ... 1*1,53 m2, dĺžka 5 m, 9 ks ...  1*1,53*9</t>
  </si>
  <si>
    <t>630-30 ... Smerová šípka (priamo) ... 1*1,10 m2, dĺžka 5 m, 15 ks ...  1*1,10*15</t>
  </si>
  <si>
    <t>poznámka:</t>
  </si>
  <si>
    <t>vrátane predznačenia VDZ</t>
  </si>
  <si>
    <t>stredná deliaca čiara (601, 602), vodiace čiary (601, 602) a obvodové čiary pre vodorovné 
dopravné značenie 620 (dopravné tiene) budú zhotovené ako štrukturálne neakustické 
z dvojzložkového striekaného plastu</t>
  </si>
  <si>
    <t>vodorovné dopravné značenie 620 (dopravné tiene) bude zhotovené z hladkého plastu 
v reflexnej úprave</t>
  </si>
  <si>
    <t>pred realizáciou plastového VDZ musí byť realizovaný nástrek jednozložkovou farbou</t>
  </si>
  <si>
    <t>cementobetónový kryt hr. 200 mm - poľná vozovka: 0,20*53,00</t>
  </si>
  <si>
    <t>cementobetónový kryt	 2x KARI sieť (v 1/3 výšky). S použitím klzných trnov (v mieste prepojenia s vozovkou asfaltovou), zrealizovať technológiou Creteprint, s metličkou úpravou a s uzatváracím náterom Sealent bez pigmentu,  CB II, STN 73 6123 ,  XF4, XC3 (SK) - CI 0,4 : 0,25*240,00</t>
  </si>
  <si>
    <t>vrátane:</t>
  </si>
  <si>
    <t>rezanie priečnej škáry; hĺbka 150 mm a šírka 3 mm - 49,60m</t>
  </si>
  <si>
    <t>rezanie pozdĺžnej škáry; hĺbka 150 mm a šírka 3 mm - 51,27m</t>
  </si>
  <si>
    <t>priečna dilatačná vystužená škára medzi AB a CB, šírka 20 mm - 5,70m</t>
  </si>
  <si>
    <t>pozdĺžna dilatačná nevystužená škára (medzi CB krytom a obrubníkimi), šírka 20 mm - 45,24m</t>
  </si>
  <si>
    <t>preplach škár tlakovou vodou - 100,87m</t>
  </si>
  <si>
    <t>rezanie rozširovacej komôrky - 100,87m</t>
  </si>
  <si>
    <t>pružná asf. zálievka za studena+ penetračný alebo adhézny náter (dilat. škára cb kryt s asfalt voz) - 5,70m</t>
  </si>
  <si>
    <t>tesniaci profil z mikroporéznej gumy ɸ 25 mm - 5,70m</t>
  </si>
  <si>
    <t>Kari sieť 150/150/8 - 2x3 m- 48 ks - 1554,72kg</t>
  </si>
  <si>
    <t>klzné tŕne dĺžky 500mm, priemer 30mm, hladká oceľ S235JR, chránený plastovým povlakom - 247ks</t>
  </si>
  <si>
    <r>
      <t xml:space="preserve">kotvy hrebienkové oceľ B500B dl. 800 mm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20 mm - 21 ks</t>
    </r>
  </si>
  <si>
    <t>EPS 70 doska, hr. 20 mm - 3,71m2</t>
  </si>
  <si>
    <t>zálievková hmota spracovaná zastudena - 100,87m</t>
  </si>
  <si>
    <t>adhézny náter - 50,44 m2</t>
  </si>
  <si>
    <t>tesniaci profil (povrazec) z mikroporéznej gumy ɸ 12 mm - 49,60m</t>
  </si>
  <si>
    <t>tesniaci profil (povrazec) z mikroporéznej gumy ɸ 10 mm - 51,27 m</t>
  </si>
  <si>
    <t>postrek proti vysychaniu - 209,02m2</t>
  </si>
  <si>
    <t>úprava povrchu CBK - priečna striáž - 209,02m2</t>
  </si>
  <si>
    <t>debnenie - 9,30m2</t>
  </si>
  <si>
    <t>2203033002</t>
  </si>
  <si>
    <t>Podkladné a krycie vrstvy z asfaltových zmesí, bitúmenové postreky, nátery, posypy spojovací postrek z modifikovaného asfaltu</t>
  </si>
  <si>
    <t>spojovací postrek PS, PMB 0,5 kg/m2 - asfaltová vozovka</t>
  </si>
  <si>
    <r>
      <t xml:space="preserve">asfaltový betón </t>
    </r>
    <r>
      <rPr>
        <b/>
        <i/>
        <sz val="10"/>
        <color rgb="FFFF0000"/>
        <rFont val="Arial CE"/>
        <family val="2"/>
        <charset val="238"/>
      </rPr>
      <t>červený</t>
    </r>
    <r>
      <rPr>
        <i/>
        <sz val="10"/>
        <rFont val="Arial CE"/>
        <family val="2"/>
        <charset val="238"/>
      </rPr>
      <t xml:space="preserve">	 AC 8, 50/70, II., hr. 40 mm s pigmentom - asfaltový chodník: 0,04*5550,00</t>
    </r>
  </si>
  <si>
    <t>asfaltový betón AC 8, 50/70, II., hr. 40 mm bez pigmentu - asfaltový chodník: 0,04*965,00</t>
  </si>
  <si>
    <t>asfaltový betón AC 16 L; PMB 45/80-75; I; hr. 60 mm - asfaltová vozovka: 0,06*360,00</t>
  </si>
  <si>
    <t>asfaltový koberec mastixový SMA 11 O, I; hr. 40 mm - asfaltová vozovka: 0,04*2550,00</t>
  </si>
  <si>
    <t>22040247</t>
  </si>
  <si>
    <t>Kryty dláždené,chodníkov komunikácií,rigolov z kociek prírodných</t>
  </si>
  <si>
    <t>2204024702</t>
  </si>
  <si>
    <t>Kryty dláždené,chodníkov komunikácií,rigolov z kociek prírodných drobných</t>
  </si>
  <si>
    <t>kamenné  kocky 0,1*0,1*0,1,okolo  trakčných stožiarovdo betónového lôžka a do epoxidovej špárovacej hmoty, jedno olemovanie 0,28 m2 kameňa</t>
  </si>
  <si>
    <t>kamenné  kocky 0,1*0,1*0,1, svetelnej signalizácie.do betónového lôžka 0,10 m a do epoxidovej špárovacej hmoty</t>
  </si>
  <si>
    <t>kamenné kocky 0,1*0,1*0,1, okolo dopravného značenia, s tabúľ ..do betónového lôžka 0,10 m a do epoxidovej špárovacej hmoty</t>
  </si>
  <si>
    <t>nová betónová prídlažba š=0.50 m, do betónového lôžka hr. 80 mm: 0,5*96,00</t>
  </si>
  <si>
    <t>betónová dlažba DL hr. 60 mm  pre nevidiacich - antracitová - guličky (varovný) vrátane lôžka z drveného kameniva fr. 4/8 hr. 40 mm</t>
  </si>
  <si>
    <t>betónová dlažba DL hr. 60 mm  pre nevidiacich - antracitová - pásiky (vodiaci) vrátane lôžka z drveného kameniva fr. 4/8 hr. 40 mm</t>
  </si>
  <si>
    <t>betónová dlažba DL hr. 80 mm sivá vrátane lôžka z drveného kameniva fr. 4/8 hr. 40 mm - dlažobný chodník</t>
  </si>
  <si>
    <t>asfaltová zálievka  medzi asfaltom a asfaltovou vozovkou  za horúca hr. 40 mm</t>
  </si>
  <si>
    <t>asfaltová zálievka medzi betónnovou vozovkou a asfaltovou vozovkou horúca hr. 40 mm</t>
  </si>
  <si>
    <t>asfaltová zálievka medzi asfaltovou vozovkou a prídlažbou betónovou, za horúca hr. 40 mm</t>
  </si>
  <si>
    <t>asfaltová zálievka medzi obrubníkom betónovým a asfalt. vozovkou, za horúca hr. 40 mm</t>
  </si>
  <si>
    <t>asfaltová zálievka medzi obrubníkom betónovým a betónovou vozovkou za studena hr. 40 mm</t>
  </si>
  <si>
    <t>trvalé zvislé dopravné značenie:</t>
  </si>
  <si>
    <t>142-10 ... Priechod pre chodcov (výstražná značka; umiestnenie vpravo)</t>
  </si>
  <si>
    <t>253-70 ... Najvyššia dovolená rýchlosť (70 km/h)</t>
  </si>
  <si>
    <t>302 ... Hlavná cesta</t>
  </si>
  <si>
    <t>321-30 ... Jednosmerná cesta (priamo)</t>
  </si>
  <si>
    <t>325-10 ... Priechod pre chodcov(informačná značka; umiestnenie vpravo)</t>
  </si>
  <si>
    <t>263-70 ... Koniec najvyššej dovolenej rýchlosti (70 km/h)</t>
  </si>
  <si>
    <t>331-50 ... Zastávka (autobus, trolejbus, elektrobus)</t>
  </si>
  <si>
    <t>366 ... Šípový smerník k zvláštnemu alebo miestnemu cieľu</t>
  </si>
  <si>
    <t>367 ... Šípový smerník k turistickému cieľu</t>
  </si>
  <si>
    <t>504-20 ... Smer platnosti (doprava)</t>
  </si>
  <si>
    <t>706-30 ... Vodiaca tabuľa (neutrálna orientácia, mimo diaľnice, 750 x 500 mm)</t>
  </si>
  <si>
    <t>kompletné zhotovenie vrátane stĺpikov - 17 ks</t>
  </si>
  <si>
    <t>360 ... Smerová predzvesť</t>
  </si>
  <si>
    <t>451 ... Radenie do jazdných pruhov pred križovatkou</t>
  </si>
  <si>
    <t>451-10 ... Radenie do jazdných pruhov pred križovatkou (čistá subtrakcia: vľavo, priamo) ... na stožiare</t>
  </si>
  <si>
    <t>451-20 ... Radenie do jazdných pruhov pred križovatkou (čistá subtrakcia: priamo, vpravo) ... na stožiare</t>
  </si>
  <si>
    <t>kompletné zhotovenie vrátane stĺpikov - 8 ks</t>
  </si>
  <si>
    <t>cestný betónové obrubník do betónového lôžka, vrátane bet. lôžka C16/20 XF 2 (SK)-Cl 0,4 aj pre prídlažbu - 69,00 m3</t>
  </si>
  <si>
    <t>záhonový betónový obrubník 250/50mm do betónového lôžka C16/20 XF 2 (SK)-Cl 0,4 - 53,20 m3</t>
  </si>
  <si>
    <t>výstužný kompozit zo sklenného vlákna s povlakom so špeciálnym polymérom</t>
  </si>
  <si>
    <t xml:space="preserve">nestmelená vrstva zo štrkodrviny ŠD 31,5 Gc, hr. 200 mm - asfaltová vozovka: 0,20*360,00        </t>
  </si>
  <si>
    <t>nestmelená vrstva zo štrkodrviny UM ŠD; 0/31,5 Gc hr. 200 mm - betónová vozovka: 0,20*105,00</t>
  </si>
  <si>
    <t>nestmelená vrstva zo štrkodrviny ŠD 31,5 Gc min. 200 mm, hr. 200 mm - poľná vozovka: 0,20*53,00</t>
  </si>
  <si>
    <t>nestmelená vrstva zo štrkodrviny ŠD 31,5 Gc min. 150 mm, hr. 150 mm - asfaltový chodník: 0,15*4995,00</t>
  </si>
  <si>
    <t>nestmelená vrstva zo štrkodrviny ŠD 31,5 Gc min. 150 mm, hr. 150 mm - asfaltový chodník: 0,15*868,50</t>
  </si>
  <si>
    <t>nestmelená vrstva zo štrkodrviny ŠD 31,5 Gc min. 150 mm, hr. 150 mm - dlažobný chodník: 0,15*320,00</t>
  </si>
  <si>
    <t xml:space="preserve">cementom stmelená zrnitá zmes CBGM C/5/6 0/31,5 hr. 150 mm - betónová vozovka: 0,15*105,00 </t>
  </si>
  <si>
    <t>2202041702</t>
  </si>
  <si>
    <t>Podkladné a krycie vrstvy s hydraulickým spojivom, cementobetónové jednovrstvové, beton prostý tr. II    C12/15 (B 15)</t>
  </si>
  <si>
    <t>podkladný betón C 12/15 XF 2 (SK)-CI 0,4 hr. 120 mm - asfaltový chodník: 0,12*5550,00</t>
  </si>
  <si>
    <t>podkladný betón C 12/15 XF 2 (SK)-CI 0,4 hr. 120 mm - asfaltový chodník: 0,12*965,00</t>
  </si>
  <si>
    <t>podkladný betón C 12/15 XF 2 (SK)-CI 0,4 hr. 120 mm - dlažobný chodník: 0,12*320,00</t>
  </si>
  <si>
    <t>2202041705</t>
  </si>
  <si>
    <t>Podkladné a krycie vrstvy s hydraulickým spojivom, cementobetónové jednovrstvové, beton prostý tr. III   C25/30 (B 30)</t>
  </si>
  <si>
    <t>podkladný betón C 25/30 XF 2 (SK)-CI 0, hr. 250 mm - asfaltová vozovka: 0,25*360,00</t>
  </si>
  <si>
    <t>Podkladné a krycie vrstvy z asfaltových zmesí, bitúmenové postreky, nátery,posypy infiltračný postrek z asfaltu</t>
  </si>
  <si>
    <t>infiltračný postrek PI 0,8 kg/m2 - betónová vozovka</t>
  </si>
  <si>
    <t>infiltračný postrek PI 0,5 kg/m2 - asfaltový chodník</t>
  </si>
  <si>
    <t>2203032902</t>
  </si>
  <si>
    <t>Podkladné a krycie vrstvy z asfaltových zmesí, bitúmenové postreky, nátery,posypy infiltračný postrek z modifikovaného asfaltu</t>
  </si>
  <si>
    <t>infiltračný postrek PI; PMB 0,5 kg/m2 - asfaltová vozovka</t>
  </si>
  <si>
    <t>asfaltový betón AC 22 P; I; hr. 50 mm - betónová vozovka: 0,05*240,00</t>
  </si>
  <si>
    <t>121</t>
  </si>
  <si>
    <t>Úprava komunikácií a chodníkov Mlynská dolina, smer Riviéra</t>
  </si>
  <si>
    <t>122  Úprava komunikácií a chodníkov Mlynská dolina, smer Patrónka</t>
  </si>
  <si>
    <t>1. etapa - 12  mesiacov</t>
  </si>
  <si>
    <t>706-30 ....vodiaca tabuľa (neutrálna orientácia, mimo diaľnice, 750 x 500 mm) ....  320 ks</t>
  </si>
  <si>
    <t>stĺpiky s podstavcami .... 320+20=340 ks</t>
  </si>
  <si>
    <t>2. etapa - 1  mesiac</t>
  </si>
  <si>
    <t>706-30 ....vodiaca tabuľa (neutrálna orientácia, mimo diaľnice, 750 x 500 mm) ....  10 ks</t>
  </si>
  <si>
    <t>rôzne DDZ .... 5 ks</t>
  </si>
  <si>
    <t>stĺpiky s podstavcami .... 10+4=14 ks</t>
  </si>
  <si>
    <t>3. etapa - 1  mesiac</t>
  </si>
  <si>
    <t>rôzne DDZ .... 15 ks</t>
  </si>
  <si>
    <t>stĺpiky s podstavcami .... 30+13=43 ks</t>
  </si>
  <si>
    <t>4. etapa - 1  mesiac</t>
  </si>
  <si>
    <t>706-30 .... vodiaca tabuľa (neutrálna orientácia, mimo diaľnice, 750 x 500 mm) .... 10 ks</t>
  </si>
  <si>
    <t>stĺpiky s podstavcami .... 10+13=23 ks</t>
  </si>
  <si>
    <t>5. etapa - 1  mesiac</t>
  </si>
  <si>
    <t>706-30 .... vodiaca tabuľa (neutrálna orientácia, mimo diaľnice, 750 x 500 mm) .... 20 ks</t>
  </si>
  <si>
    <t>stĺpiky s podstavcami .... 20+10=30 ks</t>
  </si>
  <si>
    <t>6. etapa - 1  mesiac</t>
  </si>
  <si>
    <t>706-30 .... vodiaca tabuľa (neutrálna orientácia, mimo diaľnice, 750 x 500 mm) .... 40 ks</t>
  </si>
  <si>
    <t>rôzne DDZ .... 20 ks</t>
  </si>
  <si>
    <t>stĺpiky s podstavcami .... 40+20=60 ks</t>
  </si>
  <si>
    <t>doba - 12 mesiacov</t>
  </si>
  <si>
    <t>701-50 .... zábrana na označenie uzávierky .... 10 ks</t>
  </si>
  <si>
    <t>VS1 blikače .... 15 ks</t>
  </si>
  <si>
    <t>oceľové platne pri rozkopávkach - 1500x3000 - 11 ks - nájom 2 mesiace</t>
  </si>
  <si>
    <t>oceľové platne pri rozkopávkach - 1500x3000 - 4 ks - nájom 1 mesiac</t>
  </si>
  <si>
    <t>zriadenie/odstránenie vodorovného dopravného značenia</t>
  </si>
  <si>
    <t>1. etapa - 8  mesiacov</t>
  </si>
  <si>
    <t>601-50 .... pozdĺžna súvislá čiara (vonkajšia okrajová – tenká)  oranžová š=0,12 m .... 30 m ..... 3,60 m2</t>
  </si>
  <si>
    <t>2. etapa - 2  mesiace</t>
  </si>
  <si>
    <t>601-50 .... pozdĺžna súvislá čiara (vonkajšia okrajová – tenká)  oranžová š=0,12 m .... 10 m ..... 1,20 m2</t>
  </si>
  <si>
    <t>búranie pôvodných betónových základov portálu - NRJ6: 3,00*1,20*1,00*1</t>
  </si>
  <si>
    <t>búranie pôvodných betónových základov portálu - NRJ7: 3,00*1,20*1,00*1</t>
  </si>
  <si>
    <t xml:space="preserve"> - demontáž kábel CYKY-J 3x1,5</t>
  </si>
  <si>
    <t xml:space="preserve"> - demontáž kábel CYKY-J 3x2,5</t>
  </si>
  <si>
    <t xml:space="preserve"> - demontáž kábel TCEKFY 2Px1C/1,0</t>
  </si>
  <si>
    <t xml:space="preserve">spolu : </t>
  </si>
  <si>
    <t xml:space="preserve"> - demontáž zatiahnutia káblov do objektu</t>
  </si>
  <si>
    <t xml:space="preserve"> - demontáž ukončenia káblov CYKY-J 3x1,5</t>
  </si>
  <si>
    <t xml:space="preserve"> - demontáž ukončenia káblov CYKY-J 3x2,5</t>
  </si>
  <si>
    <t xml:space="preserve"> - demontáž ukončenia párovaných káblov do TCEKE... 2P</t>
  </si>
  <si>
    <t>odstránenie drenáže  DN 160</t>
  </si>
  <si>
    <t>demontáž pôvodného oceľového portála - NRJ6</t>
  </si>
  <si>
    <t>demontáž pôvodného oceľového portála - NRJ7</t>
  </si>
  <si>
    <t>vybúranie betónovej vrstvy povrchovej pri múroch - spevnená krajnica hr. 150 mm</t>
  </si>
  <si>
    <t>búranie železobetónového krytu betónovej vozovky hr. 250 mm</t>
  </si>
  <si>
    <t>betónový odvodňovací žľab (betónová žľabovka s lôžkom) hr. 250 mm: 26,00*0,6</t>
  </si>
  <si>
    <t>odstránenie existujúcej asfaltovej vrstvy krytu poľnej vozovky hr. 50 mm</t>
  </si>
  <si>
    <t>odstránenie existujúcej asfaltovej vrstvy krytu chodníka hr. 40 mm</t>
  </si>
  <si>
    <t>odstránenie existujúcej bet. dlažby - pre nevidiacich - chodníka hr. 60 mm</t>
  </si>
  <si>
    <t>odstránenie cementom stmelenej zmesy CBGM C5/6 hr. 170 mm - asfaltová vozovka</t>
  </si>
  <si>
    <t>odstránenie cementom stmelenej zmesy CBGM C5/6 hr. 200 mm - betónová vozovka</t>
  </si>
  <si>
    <t>odstránenie cementom stmelenej zmesy CBGM C3/4 hr. 150 mm - poľná vozovka</t>
  </si>
  <si>
    <t>odsránenie betónovej vrstvy hr. 250 mm - asfaltová vozovka</t>
  </si>
  <si>
    <t>odstránenie asfaltových podkladných vrstiev vozovky hr. 60 mm - asfaltová vozovka</t>
  </si>
  <si>
    <t>odstránenie asfaltových podkladných vrstiev vozovky hr. 70 mm - asfaltová vozovka</t>
  </si>
  <si>
    <t>odstránenie asfaltových podkladných vrstiev OKVH II vozovky hr. 50 mm - betónová vozovka</t>
  </si>
  <si>
    <t>odstránenie asfaltových podkladných vrstiev vozovky hr. 60 mm - poľná vozovka</t>
  </si>
  <si>
    <t>odstránenie nestmelená vrstva z štrkodrviny UM ŠD; 0/31,5 Gc hr. 200 mm - asfaltová vozovka</t>
  </si>
  <si>
    <t>odstránenie nestmelená vrstva z štrkodrviny UM ŠD; 0/31,5 Gc min. 150 mm, hr. 150 mm - betónová vozovka</t>
  </si>
  <si>
    <t>odstránenie nestmelená vrstva z štrkodrviny UM ŠD; 0/31,5 Gc, hr. 200 mm - poľná vozovka</t>
  </si>
  <si>
    <t>odstránenie nestmelená vrstva z štrkodrviny UM ŠD; 0/31,5 Gc min. 150 mm, hr. 150 mm - chodník</t>
  </si>
  <si>
    <t>0503030203</t>
  </si>
  <si>
    <t>Odstránenie spevnených plôch vozoviek a doplňujúcich konštrukcií obrubníkov a krajníkov kamenných záhonových</t>
  </si>
  <si>
    <t>odstránenie existujúcich záhonový kamenných obrubníkov vrátane bet. lôžka</t>
  </si>
  <si>
    <t xml:space="preserve">dočasné odstránenie betónového zvodidla h. 1,2 jednostranné </t>
  </si>
  <si>
    <t>dočasné demontovanie oceľového zvodidla N2  - aj so stĺpikmi á 4m - spätná montáž</t>
  </si>
  <si>
    <t>rozobratie zábradlia - bude naspäť montované</t>
  </si>
  <si>
    <t>odstránenie trvalého dopravného značenia veľkorozmerných rozmerov komplet (4x3m a 3,5x4,5m)</t>
  </si>
  <si>
    <t>odstránenie premenlivých DZ   3500x4500  komplet</t>
  </si>
  <si>
    <t xml:space="preserve">odvoz ZS </t>
  </si>
  <si>
    <t>rozobratie zábradlia - bude naspäť montované: 106,00 m*0,042 t/m</t>
  </si>
  <si>
    <t>odvoz na SD a medziskládky</t>
  </si>
  <si>
    <t>odstránenie nestmelená vrstva z štrkodrviny UM ŠD; 0/31,5 Gc min. 150 mm, hr. 150 mm - chodník: 2415,00 m2*0,235 t/m2</t>
  </si>
  <si>
    <t>dočasné odstránenie betónového zvodidla h. 1,2 jednostranné: 24,00*0,84 t/m</t>
  </si>
  <si>
    <t>dočasné demontovanie oceľového zvodidla N2  - aj so stĺpikmi á 4m - spätná montáž: 40,00 m*0,042 t/m</t>
  </si>
  <si>
    <t xml:space="preserve"> - odvoz na sklad správcu (kabeláž)</t>
  </si>
  <si>
    <t>búranie pôvodných betónových základov portálu NRJ6: 3,60 m3*2,2 t/m3</t>
  </si>
  <si>
    <t>búranie pôvodných betónových základov portálu NRJ7: 3,60 m3*2,2 t/m3</t>
  </si>
  <si>
    <t>odstránenie drenáže  DN 160: 60,00 m*0,001 t/m</t>
  </si>
  <si>
    <t>vybúranie betónovej vrstvy povrchovej pri múroch - spevnená krajnica hr. 150 mm: 210,00 m2*0,44 t/m2</t>
  </si>
  <si>
    <t>búranie železobetónového krytu betónovej vozovky hr. 250 mm: 138,00 m2*0,66 t/m2</t>
  </si>
  <si>
    <t>betónový odvodňovací žľab (betónová žľabovka s lôžkom) hr. 250 mm: 15,60 m2*0,66 t/m2</t>
  </si>
  <si>
    <t>odstránenie existujúcej asfaltovej vrstvy krytu poľnej vozovky hr. 50 mm: 207,00 m2*0,181 t/m2</t>
  </si>
  <si>
    <t>odstránenie existujúcej asfaltovej vrstvy krytu chodníka hr. 40 mm: 2120,00 m2*0,181 t/m2</t>
  </si>
  <si>
    <t>odstránenie existujúcej bet. dlažby - pre nevidiacich - chodníka hr. 60 mm: 85,00 m*0,288 t/m2</t>
  </si>
  <si>
    <t>odstránenie existujúcej bet. dlažby chodníka hr. 80 mm: 433,00 m2*0,288 t/m2</t>
  </si>
  <si>
    <t>odstránenie existujúcej betónovej prídlažby hr. 100 mm vrátane bet. lôžka: 172,00 m2*0,288 t/m2</t>
  </si>
  <si>
    <t>odstránenie existujúcej betónovej prídlažby hr. 100 mm vrátane bet. lôžka: 87,50 m2*0,288 t/m2</t>
  </si>
  <si>
    <t>odstránenie podkladného betónu chodníka hr. 100 mm: 2120,00 m2*0,22 t/m2</t>
  </si>
  <si>
    <t>odstránenie cementom stmelenej zmesy CBGM C5/6 hr. 170 mm - asfaltová vozovka: 380,00 m2*0,44 t/m2</t>
  </si>
  <si>
    <t>odstránenie cementom stmelenej zmesy CBGM C5/6 hr. 200 mm - betónová vozovka: 138,00 m2*0,44 t/m2</t>
  </si>
  <si>
    <t>odstránenie cementom stmelenej zmesy CBGM C3/4 hr. 150 mm - poľná vozovka: 70,00*0,44 t/m2</t>
  </si>
  <si>
    <t>odsránenie betónovej vrstvy hr. 250 mm - asfaltová vozovka: 32,00 m2*0,66 t/m2</t>
  </si>
  <si>
    <t>odstránenie asfaltových podkladných vrstiev vozovky hr. 60 mm - asfaltová vozovka: 590,00 m2*0,181 t/m2</t>
  </si>
  <si>
    <t>odstránenie asfaltových podkladných vrstiev vozovky hr. 70 mm - asfaltová vozovka: 380,00 m2*0,181 t/m2</t>
  </si>
  <si>
    <t>odstránenie asfaltových podkladných vrstiev OKVH II vozovky hr. 50 mm - betónová vozovka: 138,00 m2*0,181 t/m2</t>
  </si>
  <si>
    <t>odstránenie asfaltových podkladných vrstiev vozovky hr. 60 mm - poľná vozovka: 120,00 m2*0,181 t/m2</t>
  </si>
  <si>
    <t>odstránenie lôžka z drveného kameniva fr. 4/8 pod dlažbu chodníka hr. 40 mm: 518,00 m2*0,13 t/m2</t>
  </si>
  <si>
    <t>odstránenie nestmelená vrstva z štrkodrviny UM ŠD; 0/31,5 Gc hr. 200 mm - asfaltová vozovka: 380,00 m2*0,235 t/m2</t>
  </si>
  <si>
    <t>odstránenie nestmelená vrstva z štrkodrviny UM ŠD; 0/31,5 Gc min. 150 mm, hr. 150 mm - betónová vozovka: 140,00 m2*0,235 t/m2</t>
  </si>
  <si>
    <t>odstránenie nestmelená vrstva z štrkodrviny UM ŠD; 0/31,5 Gc, hr. 200 mm - poľná vozovka: 70,00 m2*0,235 t/m2</t>
  </si>
  <si>
    <t>odstránenie existujúcich kamenných obrubníkov, vrátane bet. lôžka: 105,00 m*0,24 t/m</t>
  </si>
  <si>
    <t>odstránenie existujúcich záhonový kamenných obrubníkov vrátane bet. Lôžka: 23,00*0,07 t/m</t>
  </si>
  <si>
    <t>odstránenie existujúcich cestný betónových obrubníkov vrátane bet. lôžka: 790,00 m*0,23 t/m</t>
  </si>
  <si>
    <t>odstránenie existujúcich záhonový betónových obrubníkov vrátane bet. lôžka: 440,00 m*0,04 t/m</t>
  </si>
  <si>
    <t>frézovanie asfaltového krytu vozovky, frézovanie hr. 40 mm - asfaltová vozovka: 5402,00 m2*0,153 t/m2</t>
  </si>
  <si>
    <t>oceľový portál - odhad hmotnosti - NRJ6: 1 ks*3,00 t/ks</t>
  </si>
  <si>
    <t>oceľový portál - odhad hmotnosti - NRJ7: 1 ks*4,40 t/ks</t>
  </si>
  <si>
    <t>odstránenie trvalého dopravného značenia základného tvaru komplet: 23,00 ks*0,082 t/ks</t>
  </si>
  <si>
    <t>odstránenie trvalého dopravného značenia veľkorozmerných rozmerov komplet (4x3m a 3,5x4,5m): 2,00 ks*0,082 t/ks</t>
  </si>
  <si>
    <t>odstránenie premenlivých DZ   3500x4500  komplet: 2,00 ks*0,082 t/ks</t>
  </si>
  <si>
    <t>frézovanie asfaltového krytu vozovky, frézovanie hr. 40 mm - asfaltová vozovka</t>
  </si>
  <si>
    <t>zarezanie betónu hr. 250 mm</t>
  </si>
  <si>
    <t>odvoz vegetačného krytu hr. 100 mm s naložením: 0,10*2312,00</t>
  </si>
  <si>
    <t xml:space="preserve"> - jama pre vyhľadanie existujúcich chráničiek pod diaľnicou, (1,2*1,5*1,5)+(0,65*1,5*1,5)=</t>
  </si>
  <si>
    <t xml:space="preserve"> - káblová ryha 350/800, 16*0,35*0,65 =</t>
  </si>
  <si>
    <t xml:space="preserve"> - káblová ryha 350/800, 5*0,35*0,25 =</t>
  </si>
  <si>
    <t>uloženie prebytočnej zeminy na spoplatnenej skládke</t>
  </si>
  <si>
    <t xml:space="preserve"> - káblová ryha 350/800, 16*0,35*0,55 =</t>
  </si>
  <si>
    <t xml:space="preserve"> - káblová ryha 350/800, 5*0,35*0,15 =</t>
  </si>
  <si>
    <t xml:space="preserve"> - lôžko z piesku, (16+5)*0,35*0,1 =</t>
  </si>
  <si>
    <t>odvoz prebytočnej zeminy na spoplatnenú skládku</t>
  </si>
  <si>
    <t>dovoz ornice z ryhy</t>
  </si>
  <si>
    <t>založenie trávnika na ornici hydroosevom</t>
  </si>
  <si>
    <t>odstránie humoznej vrstvy hr. 150 mm: 2312,00*0,15</t>
  </si>
  <si>
    <t xml:space="preserve">výkop vrátane výmeny podložia; zemina bude nevhodná do násypov  </t>
  </si>
  <si>
    <t>odstránenie - dočasné štrkopiesok  fr 0/32, potom odstrániť  pri pilotáži: 0,40*400,00</t>
  </si>
  <si>
    <t>výkop zarubenie</t>
  </si>
  <si>
    <t>výkop jamy pre nový portál - NRJ6: 3,80*1,40*1,00*1</t>
  </si>
  <si>
    <t>výkop jám pre nový portál - NRJ7: 3,50*1,40*1,00*2</t>
  </si>
  <si>
    <t>násyp jedincový nakupovaný</t>
  </si>
  <si>
    <t>zriadenie - dočasné štrkopiesok  fr 0/32, potom odstrániť  pri pilotáži: 0,40*400,00</t>
  </si>
  <si>
    <t>výmena podložia - geodoska=2 vrstvy ŠD + 1 vrstva dvojosá geomreža: 0,50*245,10</t>
  </si>
  <si>
    <t>uloženie výkopu na spoplatnenú skládku</t>
  </si>
  <si>
    <t>odvoz zeminy na medziskládku potrebnej pre SO 001</t>
  </si>
  <si>
    <t>odvoz výkopu na spoplatnenú skládku = výkopy</t>
  </si>
  <si>
    <t>výkop vrátane výmeny podložia</t>
  </si>
  <si>
    <t>výkop jám pre nové portále</t>
  </si>
  <si>
    <t>odpočet zeminy pre SO 001</t>
  </si>
  <si>
    <t>601-50  Pozdĺžna súvislá čiara (vonkajšia okrajová – tenká) h=0,12m ... plná ... 0,12*375,00</t>
  </si>
  <si>
    <t>601-51  Pozdĺžna súvislá čiara (vonkajšia okrajová – hrubá) h=0,25m ... plná ... 0,25*433,00</t>
  </si>
  <si>
    <t>601-51  Pozdĺžna súvislá čiara (vonkajšia okrajová – hrubá) h=0,30m ... plná ... 0,30*209,00</t>
  </si>
  <si>
    <t>602-55 ... Pozdĺžna prerušovaná čiara  (vnútorná okrajová) h=0,25m ... 1,5/1,5 ... 0,25*481,00/2</t>
  </si>
  <si>
    <t>602-70 ... Pozdĺžna prerušovaná čiara (vodiaca) h=0,12m ... 3/3 ... 0,12*806,00/2</t>
  </si>
  <si>
    <t>602-70 ... Pozdĺžna prerušovaná čiara (vodiaca) h=0,12m ... 3/6 ... 0,12*942,00/3</t>
  </si>
  <si>
    <t>602-71 ... Pozdĺžna prerušovaná čiara (vodiaca varovná) h=0,12m ... 3/1,5 ... 0,12*90,00*3/1,5</t>
  </si>
  <si>
    <t>601-60 ... Pozdĺžna súvislá čiara  (stredová) h=0,12m ... plná ... 0,12*169,00</t>
  </si>
  <si>
    <t>601-65 ... Pozdĺžna súvislá čiara  (dvojitá stredová)  ... 2 x h ... 2*0,12*224,00</t>
  </si>
  <si>
    <t>601-75 ... Pozdĺžna súvislá čiara (deliaca) h=0,25m ... plná ... 0,25*90,00</t>
  </si>
  <si>
    <t>602-65 ... Pozdĺžna prerušovaná čiara (dvojtá stredová) h=0,12m ... 3/3 ... 0,12*12,00/2*2</t>
  </si>
  <si>
    <t>602-75 ... Pozdĺžna prerušovaná čiara (deliaca – hrubá) h=0,25m ... 3/3 ... 0,25*25,00/2</t>
  </si>
  <si>
    <t>603-75 ... Pozdĺžna súvislá čiara doplnená prerušovanou čiarou (deliaca) h=0,12m ... čistá dĺžka čiar 10+(10-3)=17 ... 0,12*17,00</t>
  </si>
  <si>
    <t>604 ... STOP čiara h=0,5m ... 0,50*55,00</t>
  </si>
  <si>
    <t>610-50 ... Priechod pre chodcov (vedený kolmo na os vozovky) ... 0,5 h=4,00m ... 24,00*4/2</t>
  </si>
  <si>
    <t>611-50 ... Miesto na prechádzanie (spoločné) ... 0,5/0,2/0,1 ... 52,00*2*(2/3)</t>
  </si>
  <si>
    <t xml:space="preserve">620-52 ... Vyšrafovaný priestor (jednostranný) h=0,25 ... 17 m2, čisto čiary 26m*0,25=6,5 </t>
  </si>
  <si>
    <t>621-62 ... Cikcak čiara  (prerušovaná: zastávka autobusu alebo trolejbusu, dĺžka ≥ 18 m) ... 80 m cik cak čiara ... 0,12*80,00</t>
  </si>
  <si>
    <t>630-10 ... Smerová šípka (doľava) ... 1*1,15 m2, dĺžka 5 m ... 7*1,15</t>
  </si>
  <si>
    <t>630-12 ... Smerová šípka (doľava a priamo) ... 1*1,53 m2, dĺžka 5 m ... 7*1,53</t>
  </si>
  <si>
    <t>630-22 ... Smerová šípka (doprava a priamo) ... 1*1,53 m2, dĺžka 5 m ... 14*1,53</t>
  </si>
  <si>
    <t>630-22 ... Smerová šípka (doprava a priamo) ... 1*0,46 m2, dĺžka 2,5 m ... 1*0,46</t>
  </si>
  <si>
    <t>630-30 ... Smerová šípka (priamo) ... 1*1,10 m2, dĺžka 5 m ... 13*1,10</t>
  </si>
  <si>
    <t>650-50 ... Označovanie špeciálneho priestoru (vozidlá pravidelnej verejnej dopravy osôb - autobusy a trolejbusy) ... 3x BUS nápis 4,9m2 ... 3*4,90</t>
  </si>
  <si>
    <t xml:space="preserve">Podkladné a krycie vrstvy s hydraulickým spojivom, cementobetónové jednovrstvové, beton prostý tr. II C 12/15 (B 15)  </t>
  </si>
  <si>
    <t>spevnená krajnica betónová hr. 150 mm: 0,15*210,00</t>
  </si>
  <si>
    <t>cementobetónový kryt	 2x KARI sieť (v 1/3 výšky). S použitím klzných trnov (v mieste prepojenia s vozovkou asfaltovou), zrealizovať technológiou Creteprint, s metličkou úpravou a s uzatváracím náterom Sealent bez pigmentu,  CB II, STN 73 6123 ,  XF4, XC3 (SK) - CI 0,4:  0,25*215,00</t>
  </si>
  <si>
    <t>rezanie priečnej škáry; hĺbka 150 mm a šírka 3 mm - 30,60m</t>
  </si>
  <si>
    <t>priečna dilatačná vystužená škára medzi AB a CB, šírka 20 mm - 48,00m</t>
  </si>
  <si>
    <t>pozdĺžna dilatačná nevystužená škára (medzi CB krytom a obrubníkimi), šírka 20 mm - 40,00m</t>
  </si>
  <si>
    <t>preplach škár tlakovou vodou - 30,60m</t>
  </si>
  <si>
    <t>rezanie rozširovacej komôrky - 30,60m</t>
  </si>
  <si>
    <t>pružná asf. zálievka za studena+ penetračný alebo adhézny náter (dilat. škára cb kryt s asfalt voz) - 48,00m</t>
  </si>
  <si>
    <t>tesniaci profil z mikroporéznej gumy ɸ 25 mm - 48,00m</t>
  </si>
  <si>
    <t>Kari sieť 150/150/8 - 2x3 m- 30 ks - 971,70kg</t>
  </si>
  <si>
    <t>klzné tŕne dĺžky 500mm, priemer 30mm, hladká oceľ S235JR, chránený plastovým povlakom - 138ks</t>
  </si>
  <si>
    <r>
      <t xml:space="preserve">kotvy hrebienkové oceľ B500B dl. 800 mm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20 mm - 26 ks</t>
    </r>
  </si>
  <si>
    <t>EPS 70 doska, hr. 20 mm - 31,20m2</t>
  </si>
  <si>
    <t>zálievková hmota spracovaná zastudena - 30,60m</t>
  </si>
  <si>
    <t>adhézny náter - 61,20 m2</t>
  </si>
  <si>
    <t>tesniaci profil (povrazec) z mikroporéznej gumy ɸ 12 mm - 30,60m</t>
  </si>
  <si>
    <t>postrek proti vysychaniu - 140,58m2</t>
  </si>
  <si>
    <t>úprava povrchu CBK - priečna striáž - 140,58m2</t>
  </si>
  <si>
    <t>spojovací postrek PS, PMB 0,5 kg/m2 - poľná vozovka</t>
  </si>
  <si>
    <t>asfaltový betón	 AC 8, 50/70, II., hr. 40 mm - asfaltový chodník: 0,04*1840,00</t>
  </si>
  <si>
    <t>asfaltový betón	 AC 11, II., hr. 50 mm - poľná vozovka: 0,05*207,00</t>
  </si>
  <si>
    <t>asfaltový betón AC 16 L; II; hr. 60 mm - poľná vozovka: 0,06*120,00</t>
  </si>
  <si>
    <t xml:space="preserve">asfaltový betón AC 16 L; PMB 45/80-75; I; hr. 60 mm - asfaltová vozovka: 0,06*590,00   </t>
  </si>
  <si>
    <t>asfaltový koberec mastixový SMA 11 O, I; hr. 40 mm - asfaltová vozovka: 0,04*5402,00</t>
  </si>
  <si>
    <t>2204024701</t>
  </si>
  <si>
    <t>Kryty dláždené,chodníkov komunikácií,rigolov z kociek prírodných veľkých</t>
  </si>
  <si>
    <t>kamenná pídlažba šírka 0,25 m hr. 120 mm: 0,25*87,00</t>
  </si>
  <si>
    <t>nájazdy do dvorov z kocky 0,12*0,12*0,12, vrátane bet lôžka, zálievka asfaltová</t>
  </si>
  <si>
    <t>kamenné  kocky 0,1*0,1*0,1, okolo  trakčných stožiarov vrátane betónového lôžka a epoxidovej špárovacej hmoty, jedno olemovanie 0,28 m2 kameňa: 0,28*34</t>
  </si>
  <si>
    <t>kamenné  kocky 0,1*0,1*0,1, svetelnej signalizácie vrátane betónového lôžka 0,10 m a epoxidovej špárovacej hmoty: 0,23*8</t>
  </si>
  <si>
    <t>kamenné kocky 0,1*0,1*0,1, okolo dopravného značenia, s tabúľ . vrátane betónového lôžka 0,10 m a epoxidovej špárovacej hmoty: 0,13*12</t>
  </si>
  <si>
    <t>betónová prídlažba do bet lôžka šírka 0,5mm hr. 80 mm do bet. lôžka: 0,50*344,00</t>
  </si>
  <si>
    <t>betónová prídlažba do bet lôžka šírka 0,5mm hr. 80 mm do bet. lôžka: 0,50*175,00</t>
  </si>
  <si>
    <t>asfaltová zálievka medzi kamenným obrubníkom a asfaltovou vozovkou za horúca hr. 40 mm</t>
  </si>
  <si>
    <t>asfaltová zálievka medzi kamennou prídlažbou a asfaltovou vozovkou za horúca hr. 40 mm</t>
  </si>
  <si>
    <r>
      <t xml:space="preserve">zábradlie h=1,1m, vrátenie na pôvodné miesto + namontovanie - </t>
    </r>
    <r>
      <rPr>
        <b/>
        <i/>
        <sz val="10"/>
        <rFont val="Arial CE"/>
        <family val="2"/>
        <charset val="238"/>
      </rPr>
      <t>len práca!!! (dovoz zo ZS 1,0 km)</t>
    </r>
  </si>
  <si>
    <r>
      <t xml:space="preserve">betónové zvodidlo jednostranné  J 120 - miera zachytenia H3 - dočasná demontáž  - </t>
    </r>
    <r>
      <rPr>
        <b/>
        <i/>
        <sz val="10"/>
        <rFont val="Arial CE"/>
        <family val="2"/>
        <charset val="238"/>
      </rPr>
      <t xml:space="preserve">len práca!!! </t>
    </r>
  </si>
  <si>
    <r>
      <t xml:space="preserve">osadenie  oceľového zvodidla N2 , dočasne demontovaného  - aj so stĺpikmi á 4 m - </t>
    </r>
    <r>
      <rPr>
        <b/>
        <i/>
        <sz val="10"/>
        <rFont val="Arial CE"/>
        <family val="2"/>
        <charset val="238"/>
      </rPr>
      <t>len práca!!! (dovoz z medziskládky 2,0 km)</t>
    </r>
  </si>
  <si>
    <t>309 ... Diaľnica ... SO 122 T potrál ... portál NRJ6</t>
  </si>
  <si>
    <t>314 ... Úsek diaľnice nespoplatnený diaľničnou známkou ... SO 122 T potrál ... portál NRJ6</t>
  </si>
  <si>
    <t>306-50 ... Koniec obce (1-riadkový názov) ... SO 122 T potrál ... portál NRJ6</t>
  </si>
  <si>
    <t>201 ... Daj prednosť v jazde!</t>
  </si>
  <si>
    <t>233-52 ... Zákaz vjazdu pre (nákladné vozidlá)</t>
  </si>
  <si>
    <t>325-10 ... Priechod pre chodcov (informačná značka; umiestnenie vpravo)</t>
  </si>
  <si>
    <t>330-52 ... Služby (čerpacia stanica)</t>
  </si>
  <si>
    <t>363-10 ... Tabuľový smerník (doľava)</t>
  </si>
  <si>
    <t>363-30 ... Tabuľový smerník (priamo)</t>
  </si>
  <si>
    <t>507-101 ... Neplatí pre (dopravná obsluha)</t>
  </si>
  <si>
    <t>kompletné zhotovenie vrátane stĺpikov - 23 ks</t>
  </si>
  <si>
    <t xml:space="preserve">215-10 ... Zákaz odbočenia (vľavo) ... vyzobrazenie  600, na  premenlivom dopravnom značení 1500x1000, tri stavy,  dve prázdne ... na nohe portálu </t>
  </si>
  <si>
    <t>360-80 ... Smerová predzvesť (portál – styková alebo priesečná križovatka) ... SO 122 rámová na portály  ... rozmer 4000x3000 ... portál NRJ7</t>
  </si>
  <si>
    <t>360-80 ... Smerová predzvesť (portál – styková alebo priesečná križovatka) ... na portále SO 122 premenlivá jedna značka - tri stavy , 2 stavy iné vyobrazenia tretí stav prázdny ... rozmer 3500x4500 ... portál NRJ7</t>
  </si>
  <si>
    <t>360-80 ... Smerová predzvesť (portál – styková alebo priesečná križovatka) ... na portále SO 122 premenlivá jedna značka - tri stavy , 2 stavy iné vyobrazenia tretí stav prázdny ... rozmer 3500x4500 ... portál NRJ6</t>
  </si>
  <si>
    <t>360-80 ... Smerová predzvesť (portál – styková alebo priesečná križovatka) ... SO 122 T potrál ... rozmer 3000x4000 ... portál NRJ6</t>
  </si>
  <si>
    <t>373 ... Smerová návesť na diaľnici ... na portále SO 122 premenlivá jedna značka - tri stavy , 2 stavy iné vyobrazenia tretí stav prázdny ... rozmer 5500x4000 ... portál NRJ7</t>
  </si>
  <si>
    <t>nový portál výkres č. 122.11, 122.12 - NRJ6 - 3807,50+367,00=4174,50 kg</t>
  </si>
  <si>
    <t xml:space="preserve">   (plocha náteru.............38,70+11,20=49,90 m2)</t>
  </si>
  <si>
    <t>nový portál výkres č. 122.20, 122.21 - NRJ7 - 6910,70+1047,40=7958,10 kg</t>
  </si>
  <si>
    <t xml:space="preserve">   (plocha náteru.............135,20+30,20=165,40m 2)</t>
  </si>
  <si>
    <t>cestný betónové obrubník do betónového lôžka, vrátane bet. lôžka C16/20 XF 2 (SK)-Cl 0,4 aj pre prídlažbu - 111,20 m3</t>
  </si>
  <si>
    <t>cestný betónový obrubník KASSELSKÝ s nábehmi do betónového lôžka, vrátane bet. lôžka C16/20 XF 2 (SK)-Cl 0,4 - 4,75 m3</t>
  </si>
  <si>
    <t>2225098002</t>
  </si>
  <si>
    <t>Doplňujúce konštrukcie,  obrubníky chodníkové kamenné</t>
  </si>
  <si>
    <t>cestný kamenný obrubník do bet. lôžka, vrátane bet. lôžka - 16,80 m3</t>
  </si>
  <si>
    <t>záhonový betónový obrubník do betónového lôžka C16/20 XF 2 (SK)-Cl 0,4 - 15,40 m3</t>
  </si>
  <si>
    <t>2225098102</t>
  </si>
  <si>
    <t>Doplňujúce konštrukcie,  obrubníky záhonové kamenné</t>
  </si>
  <si>
    <t>záhonový kamenný obrubník do betónového lôžka C16/20 XF 2 (SK)-Cl 0,4 - 0,81 m3</t>
  </si>
  <si>
    <t>2225116101</t>
  </si>
  <si>
    <t>Doplňujúce konštrukcie,  otvorené žľaby z betónových tvárnic š. do 500 mm</t>
  </si>
  <si>
    <t>nový betónový žľab š=300 mm vrátane bet. lôžka</t>
  </si>
  <si>
    <t>nový betónový žľab š=600 mm vrátane bet. lôžka</t>
  </si>
  <si>
    <t>91200301</t>
  </si>
  <si>
    <t>9120030101</t>
  </si>
  <si>
    <t>Svietidlá a osvetľovacie zariadenia - dopravné značky svetelné malé</t>
  </si>
  <si>
    <t xml:space="preserve">840 ... vetelné signály, Prerušovaný žltý signál ... priemer  300, veľkosť 3 ... na nohe portálu </t>
  </si>
  <si>
    <t xml:space="preserve">nestmelená vrstva zo štrkodrviny ŠD 31,5 Gc, hr. 200 mm - asfaltová vozovka: 0,20*380,00        </t>
  </si>
  <si>
    <t xml:space="preserve">nestmelená vrstva zo štrkodrviny ŠD 31,5 Gc, hr. 200 mm - poľná vozovka: 0,20*70,00        </t>
  </si>
  <si>
    <t xml:space="preserve">nestmelená vrstva zo štrkodrviny ŠD 31,5 Gc, hr. 200 mm - betónová vozovka: 0,20*245,00        </t>
  </si>
  <si>
    <t>nestmelená vrstva zo štrkodrviny UM ŠD; 0/31,5 Gc hr. 150 mm - asfaltový chodník: 0,15*1656,00</t>
  </si>
  <si>
    <t>nestmelená vrstva zo štrkodrviny ŠD 31,5 Gc min. 150 mm, hr. 150 mm - dlažobný chodník: 0,15*1233,00</t>
  </si>
  <si>
    <t>nestmelená vrstva zo štrkodrviny ŠD 31,5 Gc min. 150 mm, hr. 150 mm - spevnená krajnica pri múre: 0,15*210,00</t>
  </si>
  <si>
    <r>
      <t xml:space="preserve">cementom stmelená zrnitá zmes  CBGM C3/4; hr. 150 mm, </t>
    </r>
    <r>
      <rPr>
        <b/>
        <i/>
        <sz val="10"/>
        <rFont val="Arial CE"/>
        <family val="2"/>
        <charset val="238"/>
      </rPr>
      <t xml:space="preserve">vrátane rezania škár </t>
    </r>
    <r>
      <rPr>
        <i/>
        <sz val="10"/>
        <rFont val="Arial CE"/>
        <family val="2"/>
        <charset val="238"/>
      </rPr>
      <t>- asfaltová vozovka: 0,15*70,00</t>
    </r>
  </si>
  <si>
    <r>
      <t xml:space="preserve">cementom stmelená zrnitá zmes CBGM C/5/6 0/31,5 hr. 150 mm, </t>
    </r>
    <r>
      <rPr>
        <b/>
        <i/>
        <sz val="10"/>
        <rFont val="Arial CE"/>
        <family val="2"/>
        <charset val="238"/>
      </rPr>
      <t>vrátane rezania škár</t>
    </r>
    <r>
      <rPr>
        <i/>
        <sz val="10"/>
        <rFont val="Arial CE"/>
        <family val="2"/>
        <charset val="238"/>
      </rPr>
      <t xml:space="preserve"> - betónová vozovka: 0,15*215,00</t>
    </r>
  </si>
  <si>
    <t>podkladný betón C 12/15 XF 2 (SK)-CI 0,4 hr. 120 mm - asfaltový chodník: 0,12*1840,00</t>
  </si>
  <si>
    <t>podkladný betón (na celú šírku chodníka) C 12/15 XF 2 (SK)-CI 0,4 hr. 120 mm - dlažobný chodník: 0,12*1233,00</t>
  </si>
  <si>
    <t>podkladný betón C 25/30 XF 2 (SK)-CI 0,4 hr. 250 mm - asfaltová vozovka: 0,25*380,00</t>
  </si>
  <si>
    <t>infiltračný postrek PI 0,5 kg/m2 - poľná vozovka</t>
  </si>
  <si>
    <t>asfaltový betón AC 22 P; I; hr. 50 mm - betónová vozovka: 0,05*215,00</t>
  </si>
  <si>
    <t>chránička - rúra PVC ohybná - NRJ6 - D110: 2,55*2</t>
  </si>
  <si>
    <t>chránička - rúra PVC ohybná - NRJ7 - D110: 1,00*4</t>
  </si>
  <si>
    <t xml:space="preserve"> - káblová ryha FXKVR 110, 16+5</t>
  </si>
  <si>
    <t>obal z filtračnej geotextílie pre perforovanú drenážnu rúru DN160</t>
  </si>
  <si>
    <t>1xPN+2xAN - náterová plocha vykázaná pre jeden náter</t>
  </si>
  <si>
    <t>základy portála ul. Mlynská Dolina - NRJ7: (3,30*1,00*2+1,20*1,00*2)*2</t>
  </si>
  <si>
    <t>NAIP pásy</t>
  </si>
  <si>
    <t>opravná izolácia existujúceho múra</t>
  </si>
  <si>
    <t>0201010301</t>
  </si>
  <si>
    <t>Zlepšovanie základovej pôdy, výplň odvodňovacích rebier alebo trativodov kamenivom drveným fr. 4-16 mm</t>
  </si>
  <si>
    <t>výplň trativodu drveným kamenivom fr. 8/16 mm</t>
  </si>
  <si>
    <t>lôžko trativodu štrkopieskom hr. 50 mm</t>
  </si>
  <si>
    <t>lôžko pod trativod z betónu</t>
  </si>
  <si>
    <t>perforovaná drenážna rúra DN 160</t>
  </si>
  <si>
    <t>vrty pre pilóty D 900 mm - vrátane hluchých vrtov - NRJ6: 7,00*2</t>
  </si>
  <si>
    <t>vrty pre pilóty D 900 mm - vrátane hluchých vrtov - NRJ6: 7,00*4</t>
  </si>
  <si>
    <t>pilóty D 900 - NRJ6: 3,14*0,45*0,45*6,00*2</t>
  </si>
  <si>
    <t>pilóty D 900 - NRJ7: 3,14*0,45*0,45*6,00*4</t>
  </si>
  <si>
    <t>NRJ6 - 0,257*2</t>
  </si>
  <si>
    <t>NRJ7 - 0,257*4</t>
  </si>
  <si>
    <t>dvojosá geomreža pre geodosku (výmena podložia)</t>
  </si>
  <si>
    <t>separačná netkaná getoextília na dočasnú ochranu asfaltovej cesty počas pilotáže, vrátane odstránenia</t>
  </si>
  <si>
    <t>podkladný betón pre portál - NRJ6: 3,80*1,40*0,10*1</t>
  </si>
  <si>
    <t>podkladný betón pre portál - NRJ7: 3,50*1,40*0,10*2</t>
  </si>
  <si>
    <t>základ kotevného bloku portála - NRJ6: 3,60*1,20*1,00</t>
  </si>
  <si>
    <t>driek kotevného bloku portála - NRJ6: (3,14*0,42*0,42+1,21*0,84)*1,60</t>
  </si>
  <si>
    <t>základy kotevných blokov portála - NRJ7: 3,30*1,20*1,00*2</t>
  </si>
  <si>
    <t>debnenie drieku portála - NRJ6: (2*3,14*0,42+1,21*2)*1,60</t>
  </si>
  <si>
    <t>debnenie základov portála - NRJ7: (3,3*1,0+1,2*1,0)*2*2</t>
  </si>
  <si>
    <t>portál NRJ6:</t>
  </si>
  <si>
    <t>základ: 901/1000</t>
  </si>
  <si>
    <t>driek: 216/1000</t>
  </si>
  <si>
    <t>portál NRJ7:</t>
  </si>
  <si>
    <t>základy: 424*2/1000</t>
  </si>
  <si>
    <t xml:space="preserve"> - kábel CYKY-J 3x1,5</t>
  </si>
  <si>
    <t xml:space="preserve"> - kábel CYKY-J 3x2,5</t>
  </si>
  <si>
    <t xml:space="preserve"> - kábel TCEKFY 2Px1C/1,0</t>
  </si>
  <si>
    <t xml:space="preserve"> - kábel FTP</t>
  </si>
  <si>
    <t xml:space="preserve"> - objímka káblová značkovacia</t>
  </si>
  <si>
    <t xml:space="preserve"> - zatiahnutie káblov do skrín a stožiarov</t>
  </si>
  <si>
    <t>122</t>
  </si>
  <si>
    <t>Úprava komunikácií a chodníkov Mlynská dolina, smer Patrónka</t>
  </si>
  <si>
    <t xml:space="preserve">123 Úprava križovatky Stuhová </t>
  </si>
  <si>
    <t>706-30 .... 15 ks</t>
  </si>
  <si>
    <t>rôzne DDZ .... 6 ks</t>
  </si>
  <si>
    <t>stĺpiky s podstavcami .... 20+5=25 ks</t>
  </si>
  <si>
    <t>701-50 .... 2 ks</t>
  </si>
  <si>
    <t>oceľové platne pri rozkopávkach - 1500x3000 - 8 ks - 2 mesiace nájom</t>
  </si>
  <si>
    <t>odstránenie asfaltového podkladu vozovky hr. 70 mm</t>
  </si>
  <si>
    <t>odstránenie nestmelená vrstva z štrkodrviny UM ŠD; 0/31,5 Gc min. 150 mm chodníka hr. 150 mm</t>
  </si>
  <si>
    <t xml:space="preserve">odstránenie nestmelenej vrstvy zo štrkodrviny ŠD 31,5 Gc hr. 210 mm   </t>
  </si>
  <si>
    <t>odstránenie trvalého dopravného značenia základné tvaru komplet</t>
  </si>
  <si>
    <t>odstránenie existujúcej asfaltovej vrstvy krytu chodníka hr. 40 mm: 2,00 m2*0,181 t/m2</t>
  </si>
  <si>
    <t>odstránenie existujúcej bet. dlažby chodníka hr. 80 mm: 29,00 m2*0,288 t/m2</t>
  </si>
  <si>
    <t>odstránenie existujúcej bet. dlažby - pre nevidiacich a slabozrakých chodníka hr. 60 mm: 3,00 m2*0,288 t/m2</t>
  </si>
  <si>
    <t>odstránenie podkladného betónu chodníka hr. 100 mm: 2,00 m2*0,22 t/m2</t>
  </si>
  <si>
    <t>odstránenie cementom stmelenej zmesy CBGM C5/6 hr. 170 mm vozovky: 60,00 m2*0,44 t/m2</t>
  </si>
  <si>
    <t>odstránenie asfaltového podkladu vozovky hr. 70 mm: 80,00 m2*0,181 t/m2</t>
  </si>
  <si>
    <t>odstránenie lôžka z drveného kameniva fr. 4/8 pod dlažbu chodníka hr. 40 mm: 32,00 m2*0,13 t/m2</t>
  </si>
  <si>
    <t>odstránenie nestmelená vrstva z štrkodrviny UM ŠD; 0/31,5 Gc min. 150 mm chodníka hr. 150 mm: 32,00 m2*0,235 t/m2</t>
  </si>
  <si>
    <t xml:space="preserve">odstránenie nestmelenej vrstvy zo štrkodrviny ŠD 31,5 Gc hr. 210 mm: 60,00 m2*0,40 t/m2   </t>
  </si>
  <si>
    <t>odstránenie existujúcich cestný betónových obrubníkov vrátane bet. lôžka: 18,00 m*0,23 t/m</t>
  </si>
  <si>
    <t>odstránenie existujúcich záhonový betónových obrubníkov vrátane bet. lôžka: 16,00 m*0,04 t/m</t>
  </si>
  <si>
    <t>odstránenie asfaltovej vrstvy vozovky, frézovanie hr. 60 mm: 210,00 m2*0,153 t/m2</t>
  </si>
  <si>
    <t>odstránenie trvalého dopravného značenia základné tvaru komplet: 2 ks*0,082 t/ks</t>
  </si>
  <si>
    <t>odstránenie asfaltovej vrstvy vozovky, frézovanie hr. 60 mm</t>
  </si>
  <si>
    <t>zarezanie asfaltových podkladných vrstiev vozovky hr. 60 mm</t>
  </si>
  <si>
    <t>zarezanie asfaltových podkladných vrstiev vozovky hr. 70 mm</t>
  </si>
  <si>
    <t>odvoz vegetačného krytu hr. 100 mm s naložením: 0,10*16,50</t>
  </si>
  <si>
    <t>dovoz ornice z medziskládky z iných SO</t>
  </si>
  <si>
    <t xml:space="preserve">výkop; zemina je nevhodná do násypov  </t>
  </si>
  <si>
    <t>odvoz výkopu na spoplatnenú skládku</t>
  </si>
  <si>
    <t>601-50  pozdĺžna súvislá čiara (vonkajšia okrajová – tenká) 0,12*37,00</t>
  </si>
  <si>
    <t xml:space="preserve">605-60  čakacia čiara (v tvare trojuholníka) 0,5/0,5 </t>
  </si>
  <si>
    <t xml:space="preserve">610-50   priechod pre chodcov (vedený kolmo na os vozovky) - (0,5/0,5 h=4,00m) </t>
  </si>
  <si>
    <t xml:space="preserve">611-50  miesto na prechádzanie (spoločné) (0,5/0,2/0,1) </t>
  </si>
  <si>
    <t xml:space="preserve">630-20  smerová šípka (doprava)  (1*1,2=1,2m2) </t>
  </si>
  <si>
    <t>2203033001</t>
  </si>
  <si>
    <t>Podkladné a krycie vrstvy z asfaltových zmesí, bitúmenové postreky, nátery, posypy spojovací postrek z asfaltu</t>
  </si>
  <si>
    <t>spojovací postrek PS - vozovka</t>
  </si>
  <si>
    <t>spojovací postrek PS, PMB 0,50 kg/m2 - vozovka</t>
  </si>
  <si>
    <t xml:space="preserve">asfaltový betón AC 16 L; PMB 45/80-75; I; hr. 60 mm - vozovka: 0,06*80,00   </t>
  </si>
  <si>
    <t>asfaltový koberec mastixový SMA 11 O, PMB 45/80-75; I; hr. 40 mm - vozovka: 0,04*180,00</t>
  </si>
  <si>
    <t>betónová prídlažba do bet. lôžka s vyšpáravaním špeciálnou maltou 80*250*500mm; betónové lôžko započítane do ceny cestného obrubníka: 0,50*44,00</t>
  </si>
  <si>
    <t>betónová dlažba DL hr. 80 mm sivá vrátane lôžka z drveného kameniva fr. 4/8 hr. 40 mm</t>
  </si>
  <si>
    <t>211-20</t>
  </si>
  <si>
    <t>212-20</t>
  </si>
  <si>
    <t>325-10</t>
  </si>
  <si>
    <t>750x750</t>
  </si>
  <si>
    <t>vrátane stĺpikov - 2 ks</t>
  </si>
  <si>
    <t>cestný betónové obrubník do betónového lôžka vrátane bet. lôžka z C16/20 XF 2 (SK)-Cl 0,4 aj pre prídlažbu - 6,03 m3</t>
  </si>
  <si>
    <t>záhonový betónový obrubník do betónového lôžka C16/20 XF 2 (SK)-Cl 0,4 - 1,28 m3</t>
  </si>
  <si>
    <t>22251491</t>
  </si>
  <si>
    <t>Doplňujúce konštrukcie,  pri stavbe krytov komunikácií, výšková úprava</t>
  </si>
  <si>
    <t>2225149102</t>
  </si>
  <si>
    <t>Doplňujúce konštrukcie,  pri stavbe krytov komunikácií, výšková úprava krycieho hrnca posúvača alebo hydrantu</t>
  </si>
  <si>
    <t>zvýšanie poklopu kanalizačného o 150 mm DN 600, miera zaťaženie D 400</t>
  </si>
  <si>
    <t xml:space="preserve">nestmelená vrstva zo štrkodrviny ŠD 31,5 Gc, hr. 200 mm - vozovka: 0,20*60,00        </t>
  </si>
  <si>
    <t>nestmelená vrstva zo štrkodrviny UM ŠD; 0/31,5 Gc min. 200 mm, hr. 200 mm: 0,20*60,50</t>
  </si>
  <si>
    <t>podkladný betón (na celú šírku chodníka) C 12/15 XF 2 (SK)-CI 0, hr. 200 mm: 0,20*57,75</t>
  </si>
  <si>
    <t>podkladný betón C 25/30 XF 2 (SK)-CI 0,4 hr. 170 mm: 0,17*60,00</t>
  </si>
  <si>
    <t>Podkladné a krycie vrstvy z asfaltových zmesí, bitúmenové postreky, nátery,posypy spojovací postrek z modifikovaného asfaltu</t>
  </si>
  <si>
    <t>infiltračný postrek PI; PMB  0,8 kg/m2 - vozovka</t>
  </si>
  <si>
    <t xml:space="preserve">asfaltový betón  AC 22 P, I; hr. 70 mm - vozovka: 0,07*60,00            </t>
  </si>
  <si>
    <t xml:space="preserve">dvojosá tuhá geomreža </t>
  </si>
  <si>
    <t>123</t>
  </si>
  <si>
    <t xml:space="preserve">Úprava križovatky Stuhová </t>
  </si>
  <si>
    <t>122.70 Preložka STL plynovodu DN80, ul. Mlynská Dolina</t>
  </si>
  <si>
    <t>odstránenie existujúceho asfaltového chodníka - kryt hr. 40 mm: 172,12*1,5</t>
  </si>
  <si>
    <t>odstránenie existujúceho asfaltového chodníka - podkladný betón hr. 100 mm: 172,12*1,5</t>
  </si>
  <si>
    <t>odstránenie existujúceho asfaltového chodníka - ŠD hr. 100 mm: 172,12*1,5</t>
  </si>
  <si>
    <t>odstránenie existujúceho asfaltového chodníka - kryt hr. 40 mm: 258,18 m2*0,181 t/m2</t>
  </si>
  <si>
    <t>odstránenie existujúceho asfaltového chodníka - podkladný betón hr. 100 mm: 258,18 m2*0,22 t/m2</t>
  </si>
  <si>
    <t>odstránenie existujúceho asfaltového chodníka - ŠD hr. 100 mm: 258,18 m2*0,13 t/m2</t>
  </si>
  <si>
    <t>výkop štartovacej jamy (v zeleni) - zapažená: 3*2*1,9*2</t>
  </si>
  <si>
    <t>výkop cieľovej jamy (asf. chodník - 0,24 m)  - zapažená: 1,5*1,5*1,6</t>
  </si>
  <si>
    <t>výkop cieľovej jamy (v zeleni)  - zapažená: 1,5*1,5*1,6</t>
  </si>
  <si>
    <t>výkop montážnej jamy pri napojení (v zeleni)  - zapažená: 4*2*2*2</t>
  </si>
  <si>
    <t>Vetva "P1"; výkop v teréne - zapažená ryha: 1,16*1,0*1,3+1,5*1,0*1,35</t>
  </si>
  <si>
    <t>Vetva "P1"; výkop v asf. chodníku (asf. chodník - 0,24 m) - nezapažená ryha: 172,12*1,0*1,0</t>
  </si>
  <si>
    <t>zafuknutie existujúceho potrubia DN80 pieskom - nakupovaný materiál: 3,14*0,045*0,045*173,50</t>
  </si>
  <si>
    <t>zásyp ryhy výkopovou zeminou</t>
  </si>
  <si>
    <t>objem potrubia: -3,14*0,09*0,09/4*174,78</t>
  </si>
  <si>
    <t>časť konštrukcie chodníka: -172,12*1*0,07</t>
  </si>
  <si>
    <t>zásyp vykopanou zeminou štartovacej jamy (v zeleni) - zapažená: 3*2*1,9*2</t>
  </si>
  <si>
    <t>zásyp vykopanou zeminou cieľovej jamy (asf. chodník - 0,24 m)  - zapažená</t>
  </si>
  <si>
    <t>časť konštrukcie chodníka: -1,5*1,5*0,07</t>
  </si>
  <si>
    <t>zásyp vykopanou zeminou cieľovej jamy (v zeleni)  - zapažená: 1,5*1,5*1,6</t>
  </si>
  <si>
    <t>zásyp vykopanou zeminou montážnej jamy pri napojení (v zeleni)  - zapažená: 4*2*2*2</t>
  </si>
  <si>
    <t>obsyp potrubia:  174,78*1,0*0,39-3,14*0,09*0,09/4*174,78</t>
  </si>
  <si>
    <t>paženie jám zriadenie/odstránenie: (3+2)*2*1,9*2+(1,5+1,5)*2*1,6+(1,5+1,5)*2*1,6+(4+2)*2*2*2</t>
  </si>
  <si>
    <t>paženie rýh zriadenie/odstránenie: 1,16*1,3*2+1,5*1,35*2</t>
  </si>
  <si>
    <t>0109010101</t>
  </si>
  <si>
    <t>Pretláčanie potrubia oceľového, tr. hor. 1-4, DN do 200 mm</t>
  </si>
  <si>
    <t>pretláčaná oceľová chránička č.1 DN200</t>
  </si>
  <si>
    <t>pretláčaná oceľová chránička č.2 DN200</t>
  </si>
  <si>
    <r>
      <t xml:space="preserve">PE100 SDR 17,6 PN10 D90x5,2 mm (DN80mm) </t>
    </r>
    <r>
      <rPr>
        <b/>
        <i/>
        <sz val="10"/>
        <rFont val="Arial CE"/>
        <family val="2"/>
        <charset val="238"/>
      </rPr>
      <t>vrátane výstraznej fólie žltej farby a vyhľadávacieho vodiča CYKY 2x4m2</t>
    </r>
    <r>
      <rPr>
        <i/>
        <sz val="10"/>
        <rFont val="Arial CE"/>
        <family val="2"/>
        <charset val="238"/>
      </rPr>
      <t xml:space="preserve"> </t>
    </r>
    <r>
      <rPr>
        <b/>
        <i/>
        <sz val="10"/>
        <rFont val="Arial CE"/>
        <family val="2"/>
        <charset val="238"/>
      </rPr>
      <t xml:space="preserve"> (202,25 m)</t>
    </r>
  </si>
  <si>
    <t>elektrotvarovkové koleno PE D90/11,25°</t>
  </si>
  <si>
    <t>elektrotvarovkové koleno PE D90/90°</t>
  </si>
  <si>
    <t>ostrý prepoj STL plynovodu s by-passom</t>
  </si>
  <si>
    <t>prepojovací objekt chráničky</t>
  </si>
  <si>
    <t>2701128308</t>
  </si>
  <si>
    <t>Plynovody, ostatné montážne práce, doplňujúce činnosti, orientačné stĺpiky</t>
  </si>
  <si>
    <t>orientačné stĺpiky vrátane orientačnej tabuľky, betónovej pätky, náteru, izolácie - označenie lomov</t>
  </si>
  <si>
    <t xml:space="preserve">pieskové lôžko rýh: 1,16*1,0*0,15+1,5*1,0*0,15+172,12*1,0*0,15   </t>
  </si>
  <si>
    <t>nový chodník - spojovací postrek PS; B 0,5 kg/m2</t>
  </si>
  <si>
    <t>nový chodník - AC 8 O, 50/70; II,; hr. 40 mm: 0,04*258,18</t>
  </si>
  <si>
    <t>nový chodník - UM ŠD; 0/31,5 Gc; min. 150 mm: 0,15*258,18</t>
  </si>
  <si>
    <t>nový chodník - podkladný betón C12/15, hr. 120 mm: 0,12*258,18</t>
  </si>
  <si>
    <t>122.70</t>
  </si>
  <si>
    <t>Preložka STL plynovodu DN80, ul. Mlynská Dolina</t>
  </si>
  <si>
    <t>124 Úprava komunikácií a chodníkov na Botanická ul., Karloveská ul., Nábrežie armádneho generála Ľudvíka Svobodu</t>
  </si>
  <si>
    <t>1. etapa - 3  mesiace</t>
  </si>
  <si>
    <t>706-30 ....vodiaca tabuľa (neutrálna orientácia, mimo diaľnice, 750 x 500 mm) ....  142 ks</t>
  </si>
  <si>
    <t>stĺpiky s podstavcami .... 142+18=160 ks</t>
  </si>
  <si>
    <t>706-30 ....vodiaca tabuľa (neutrálna orientácia, mimo diaľnice, 750 x 500 mm) ....  40 ks</t>
  </si>
  <si>
    <t>stĺpiky s podstavcami .... 40+12=52 ks</t>
  </si>
  <si>
    <t>706-30 .... vodiaca tabuľa (neutrálna orientácia, mimo diaľnice, 750 x 500 mm) .... 5 ks</t>
  </si>
  <si>
    <t>stĺpiky s podstavcami .... 5+5=10 ks</t>
  </si>
  <si>
    <t>6. etapa - 3  mesiace</t>
  </si>
  <si>
    <t>706-30 .... vodiaca tabuľa (neutrálna orientácia, mimo diaľnice, 750 x 500 mm) .... 142 ks</t>
  </si>
  <si>
    <t>VS1 blikače .... 28 ks</t>
  </si>
  <si>
    <t>2. etapa - 3  mesiace</t>
  </si>
  <si>
    <t>VS1 blikače .... 12 ks</t>
  </si>
  <si>
    <t>búranie pôvodných betónových základov portálu: 2,50*1,50*1,00*2</t>
  </si>
  <si>
    <t>demontáž pôvodného oceľového portála</t>
  </si>
  <si>
    <t>búranie betónového krytu parkoviska hr. 200 mm</t>
  </si>
  <si>
    <t>odstránenie asfaltových podkladných vrstiev vozovky hr. 120 mm</t>
  </si>
  <si>
    <t>odstránenie nestmelená vrstva z štrkodrviny UM ŠD; 0/31,5 Gc hr. 200 mm vozovky</t>
  </si>
  <si>
    <t>ŠD pod betonovou plochou parkoviska 200mm</t>
  </si>
  <si>
    <t>odstránenie existujúcich kamenných obrubníkov, vrátane bet. lôžka - spätné použitie</t>
  </si>
  <si>
    <t>odstránenie existujúcich betónových palisád v=0,9m vrátane bet. lôžka</t>
  </si>
  <si>
    <t>odstránenie trvalého dopravného značenia veľkorozmerných rozmerov komplet (2x4m, 3,5x1,5m)</t>
  </si>
  <si>
    <t>odvoz na SD</t>
  </si>
  <si>
    <t>odstránenie existujúcich kamenných obrubníkov, vrátane bet. lôžka - spätné použitie: 78,00 m*0,24 t/m</t>
  </si>
  <si>
    <t>odstránenie lôžka z drveného kameniva fr. 4/8 pod dlažbu chodníka hr. 40 mm: 1710,00 m2*0,13 t/m2</t>
  </si>
  <si>
    <t>odstránenie nestmelená vrstva z štrkodrviny UM ŠD; 0/31,5 Gc min. 150 mm, hr. 150 mm chodníka: 3244,50 m2*0,235 t/m2</t>
  </si>
  <si>
    <t>ŠD pod betonovou plochou parkoviska 200mm: 30,00 m2*0,235 t/m2</t>
  </si>
  <si>
    <t>rozobratie zábradlia - bude naspäť montované: 235,00 m*0,042 t/m</t>
  </si>
  <si>
    <t>búranie pôvodných betónových základov portálu: 7,50 m3*2,2 t/m3</t>
  </si>
  <si>
    <t>búranie betónového krytu parkoviska hr. 200 mm: 28,00 m2*0,44 t/m2</t>
  </si>
  <si>
    <t>odstránenie existujúcej asfaltovej vrstvy krytu chodníka hr. 40 mm: 1380,00 m2*0,181 t/m2</t>
  </si>
  <si>
    <t>odstránenie existujúcej bet. dlažby - pre nevidiacich a slabozrakých chodníka hr. 60 mm: 31,00 m*0,288 t/m2</t>
  </si>
  <si>
    <t>odstránenie existujúcej bet. dlažby chodníka hr. 80 mm: 1710,00 m2*0,288 t/m2</t>
  </si>
  <si>
    <t>odstránenie existujúcej betńovej prídlažby hr. 100 mm vrátane bet. lôžka: 37,00 m2*0,288 t/m2</t>
  </si>
  <si>
    <t>odstránenie podkladného betónu chodníka hr. 100 mm: 3090,00 m2*0,22 t/m2</t>
  </si>
  <si>
    <t>odstránenie cementom stmelenej zmesy CBGM C5/6 hr. 170 mm vozovky: 106,00 m2*0,44 t/m2</t>
  </si>
  <si>
    <t>odstránenie asfaltových podkladných vrstiev vozovky hr. 120 mm: 106,00 m2*0,45 t/m2</t>
  </si>
  <si>
    <t>odstránenie nestmelená vrstva z štrkodrviny UM ŠD; 0/31,5 Gc hr. 200 mm vozovky: 80,00 m2*0,235 t/m2</t>
  </si>
  <si>
    <t>odstránenie existujúcich kamenných obrubníkov, vrátane bet. lôžka: 43,00 m*0,24 t/m</t>
  </si>
  <si>
    <t>odstránenie existujúcich cestný betónových obrubníkov vrátane bet. lôžka: 70,00 m*0,23 t/m</t>
  </si>
  <si>
    <t>odstránenie existujúcich záhonový betónových obrubníkov vrátane bet. lôžka: 50,00 m*0,04 t/m</t>
  </si>
  <si>
    <t>odstránenie existujúcich betónových palisád v=0,9m vrátane bet. lôžka: 7,00 m*0,04 t/m</t>
  </si>
  <si>
    <t>frézovanie asfaltovej vrstvy vozovky, frézovanie hr. 60 mm: 360,00 m2*0,153 t/m2</t>
  </si>
  <si>
    <t>oceľový portál - odhad hmotnosti: 1 ks*1,485 t/ks</t>
  </si>
  <si>
    <t>odstránenie trvalého dopravného značenia základného tvaru komplet: 5,00 ks*0,082 t/ks</t>
  </si>
  <si>
    <t>odstránenie trvalého dopravného značenia veľkorozmerných rozmerov komplet (2x4m, 3,5x1,5m): 2,00 ks*0,082 t/ks</t>
  </si>
  <si>
    <t>frézovanie asfaltovej vrstvy vozovky, frézovanie hr. 60 mm</t>
  </si>
  <si>
    <t>odvoz vegetačného krytu hr. 100 mm s naložením: 0,10*459,00</t>
  </si>
  <si>
    <t>dovoz ornice z medziskládky z SO 124</t>
  </si>
  <si>
    <t>odstránie humoznej vrstvy hr. 150 mm: 459,00*0,15</t>
  </si>
  <si>
    <t xml:space="preserve">výkop; zemina bude nevhodná do násypov  </t>
  </si>
  <si>
    <t>odstránenie - dočasné štrkopiesok  fr 0/32, potom odstrániť  pri pilotáži: 0,40*154,00</t>
  </si>
  <si>
    <t>výkop jám pre nový portál: 3,80*1,40*1,00+3,50*1,40*1,00</t>
  </si>
  <si>
    <t>zriadenie - dočasné štrkopiesok  fr 0/32, potom odstrániť  pri pilotáži: 0,40*154,00</t>
  </si>
  <si>
    <t>výkop jám pre nový portál</t>
  </si>
  <si>
    <t>601-50  Pozdĺžna súvislá čiara (vonkajšia okrajová – tenká) h=0,12m ... plná ... 0,12*15,00</t>
  </si>
  <si>
    <t>601-51  Pozdĺžna súvislá čiara (vonkajšia okrajová – hrubá) h=0,25m ... plná ... 0,25*510,00</t>
  </si>
  <si>
    <t>602-55 ... Pozdĺžna prerušovaná čiara  (vnútorná okrajová) h=0,25m ... 1,5/1,5 ... 0,25*53,00/2</t>
  </si>
  <si>
    <t>601-75 ... Pozdĺžna prerušovaná čiara  (deliaca – hrubá) h=0,25m ... 3,5/3,5 ... 0,25*50,00/2</t>
  </si>
  <si>
    <t>poplastované pre nevidiacich signálny a varovný pás nový</t>
  </si>
  <si>
    <t>betón povrchový C 12/15 XF 2 (SK)-CI 0,4 - betónový chodník hr. 100 mm: 0,10*11,00</t>
  </si>
  <si>
    <t>asfaltový betón	 AC 8, 50/70, II., hr. 40 mm - asfaltový chodník: 0,04*1380,00</t>
  </si>
  <si>
    <t xml:space="preserve">asfaltový betón AC 16 L; PMB 45/80-75; I; hr. 60 mm - asfaltová vozovka: 0,06*184,00   </t>
  </si>
  <si>
    <t>asfaltový koberec mastixový SMA 11 O, I; hr. 40 mm - asfaltová vozovka: 0,04*360,00</t>
  </si>
  <si>
    <t>betónová prídlažba hr. 80 mm do bet. Lôžka</t>
  </si>
  <si>
    <r>
      <t xml:space="preserve">vrátane zaškárovania kamennou štrkodrvou fr. 0/4 mm - </t>
    </r>
    <r>
      <rPr>
        <b/>
        <i/>
        <sz val="10"/>
        <color rgb="FFFF0000"/>
        <rFont val="Arial CE"/>
        <family val="2"/>
        <charset val="238"/>
      </rPr>
      <t>nesmie byť piesok!!!</t>
    </r>
  </si>
  <si>
    <r>
      <t xml:space="preserve">zábradlie h=1,1m, vrátenie na pôvodné miesto + namontovanie - </t>
    </r>
    <r>
      <rPr>
        <b/>
        <i/>
        <sz val="10"/>
        <rFont val="Arial CE"/>
        <family val="2"/>
        <charset val="238"/>
      </rPr>
      <t>len práca!!! (dovoz zo ZS 3,5 km)</t>
    </r>
  </si>
  <si>
    <t>kompletné zhotovenie vrátane stĺpikov - 3 ks</t>
  </si>
  <si>
    <t>362 ... Smerová návesť (jednoduchá – pri umiestnení pred alebo v mieste manévru) ... rozmer 5000x3000 (na portále)</t>
  </si>
  <si>
    <t>362 ... Smerová návesť (jednoduchá – pri umiestnení pred alebo v mieste manévru) ... rozmer 3000x3000 (na portále)</t>
  </si>
  <si>
    <t>451 ... Radenie do jazdných pruhov pred križovatkou  (čistá subtrakcia: dvojité odbočenie vľavo, otočenie, 2x priamo)</t>
  </si>
  <si>
    <t>451 ... Počet jazdných pruhov pruhov (2 pruhy)</t>
  </si>
  <si>
    <t>kompletné zhotovenie vrátane stĺpikov - 4 ks</t>
  </si>
  <si>
    <t>nový portál výkres č. 124.10 - 3993 kg</t>
  </si>
  <si>
    <t xml:space="preserve">   (plocha náteru.............74,80m2)</t>
  </si>
  <si>
    <t>cestný betónové obrubník do betónového lôžka, vrátane bet. lôžka C16/20 XF 2 (SK)-Cl 0,4 aj pre prídlažbu - 11,70 m3</t>
  </si>
  <si>
    <t>cestný kamenný obrubník bez skosenia 250/150 mm do drenážnej lôžkovej malty C30/35 XF 2(SK)-CI 0,40 550x445 mm (aj pod prídlažbou ako celok) - vzorové  priečny rez, vyšpárované - 11,10 m3</t>
  </si>
  <si>
    <t>záhonový betónový obrubník 250/50mm do betónového lôžka C16/20 XF 2 (SK)-Cl 0,4 - 2,75 m3</t>
  </si>
  <si>
    <t>betónové palisády 0,18*0,18*0,9 m do bet. lôžka - 1,13 m3</t>
  </si>
  <si>
    <t>lôžko z drveného kameniva fr. 4/8, hr. 40 mm pod betón povrchový - betónový chodník: 0,04*11,00</t>
  </si>
  <si>
    <t xml:space="preserve">nestmelená vrstva zo štrkodrviny ŠD 31,5 Gc, hr. 200 mm - asfaltová vozovka: 0,20*93,00        </t>
  </si>
  <si>
    <t>nestmelená vrstva zo štrkodrviny UM ŠD; 0/31,5 Gc hr. 150 mm - asfaltový chodník: 0,15*1380,00</t>
  </si>
  <si>
    <t>nestmelená vrstva zo štrkodrviny ŠD 31,5 Gc min. 200 mm, hr. 200 mm - betónový a dlažobný chodník: 0,20*1848,00</t>
  </si>
  <si>
    <t>podkladný betón C 12/15 XF 2 (SK)-CI 0,4 hr. 120 mm - asfaltový chodník: 0,12*1380,00</t>
  </si>
  <si>
    <t>podkladný betón C 12/15 XF 2 (SK)-CI 0,4 hr. 120 mm - betónový chodník: 0,12*1760,00</t>
  </si>
  <si>
    <t>podkladný betón C 25/30 XF 2 (SK)-CI 0,4 hr. 250 mm - vozovka: 0,25*93,00</t>
  </si>
  <si>
    <t>infiltračný postrek PI 0,5 kg/m2</t>
  </si>
  <si>
    <t>infiltračný postrek PI; PMB 0,5 kg/m2 - vozovka</t>
  </si>
  <si>
    <t>chránička - rúra PVC ohybná - D110: 2,75*2+0,95*2</t>
  </si>
  <si>
    <t>vrty pre pilóty D 900 mm - vrátane hluchých vrtov: 7,00*4</t>
  </si>
  <si>
    <t>pilóty D 900: 3,14*0,45*0,45*6,00*4</t>
  </si>
  <si>
    <t>0,257*4</t>
  </si>
  <si>
    <t>podkladný betón pre portál: 3,80*1,40*0,10+3,50*1,40*0,10</t>
  </si>
  <si>
    <t>základy kotevných blokov portála: 3,60*1,20*1,00+3,30*1,20*1,00</t>
  </si>
  <si>
    <t>driek kotevného bloku portála: (3,14*0,42*0,42+0,81*0,84)*1,80</t>
  </si>
  <si>
    <t>debnenie drieku portála: (2*3,14*0,42+0,81*2)*1,80</t>
  </si>
  <si>
    <t>základy: (863+424)/1000</t>
  </si>
  <si>
    <t>driek: 112/1000</t>
  </si>
  <si>
    <t>124</t>
  </si>
  <si>
    <t>Úprava komunikácií a chodníkov na Botanická ul., Karloveská ul., Nábrežie armádneho generála Ľudvíka Svobodu</t>
  </si>
  <si>
    <t>125</t>
  </si>
  <si>
    <t>125  Úprava komunikácií a chodníkov na uliciach Habánsky mlyn, Gaštanová ul., Valašská ul.</t>
  </si>
  <si>
    <t>706-30 ....vodiaca tabuľa (neutrálna orientácia, mimo diaľnice, 750 x 500 mm) ....  260 ks</t>
  </si>
  <si>
    <t>stĺpiky s podstavcami .... 260+15=275 ks</t>
  </si>
  <si>
    <t>stĺpiky s podstavcami .... 30+15=45 ks</t>
  </si>
  <si>
    <t>2. etapa - 10  mesiacov</t>
  </si>
  <si>
    <t>oceľové platne pri rozkopávkach - 1500x3000 - 12 ks - 8 mesiacov nájom</t>
  </si>
  <si>
    <t>búranie betónového krytu vozovky hr. 200 mm</t>
  </si>
  <si>
    <t>búranie betónových plôch nájazdov do dvorov - chodník hr. 150 mm</t>
  </si>
  <si>
    <t>búranie betónu hr. 200 mm</t>
  </si>
  <si>
    <t>odstránenie existujúcich polovegetačných tvárnic hr. 100 mm</t>
  </si>
  <si>
    <t>odstránenie existujúcej kamennej prídlažby , kocky 10x10 hr. 100 mm vrátane bet. lôžka, na šírke 0,20m: 0,20*396,90</t>
  </si>
  <si>
    <t>odstránenie asfaltovej ložnej vrstvy vozovky hr. 60 mm</t>
  </si>
  <si>
    <t>odstránenie asfaltovej podkladnej vrstvy vozovky hr. 70 mm</t>
  </si>
  <si>
    <t>odstránenie štrkovej vrstvy, nespevnená krajnica hr. 150 mm</t>
  </si>
  <si>
    <t xml:space="preserve">odstránenie nestmelenej vrstvy zo štrkodrviny ŠD 31,5 Gc hr. 210 mm vozovky  </t>
  </si>
  <si>
    <t>odstránenie existujúcich kamenných obrubníkov  á 1 ks 0,5*0,20*0,3, vrátane bet. lôžka</t>
  </si>
  <si>
    <t>odvoz majiteľovi</t>
  </si>
  <si>
    <t>odstránenie existujúcich polovegetačných tvárnic hr. 100 mm: 7,50 m2*0,288 t/m2</t>
  </si>
  <si>
    <t>odstránenie lôžka z drveného kameniva fr. 4/8 pod dlažbu chodníka hr. 40 mm: 37,59 m2*0,13 t/m2</t>
  </si>
  <si>
    <t>odstránenie nestmelená vrstva z štrkodrviny UM ŠD; 0/31,5 Gc min. 150 mm chodníka hr. 150 mm: 560,38 m2*0,235 t/m2</t>
  </si>
  <si>
    <t>búranie betónového krytu vozovky hr. 200 mm: 35,00 m2*0,44 t/m2</t>
  </si>
  <si>
    <t>búranie betónových plôch nájazdov do dvorov - chodník hr. 150 mm: 22,00 m2*0,44 t/m2</t>
  </si>
  <si>
    <t>búranie betónu hr. 200 mm: 30,00 m2*0,44 t/m2</t>
  </si>
  <si>
    <t>odstránenie existujúcej asfaltovej vrstvy krytu chodníka hr. 40 mm: 463,19 m2*0,181 t/m2</t>
  </si>
  <si>
    <t>odstránenie existujúcej bet. dlažby - pre nevidiacich a slabozrakých chodníka hr. 60 mm: 37,59 m2*0,288 t/m2</t>
  </si>
  <si>
    <t>odstránenie existujúcej kamennej prídlažby , kocky 10x10 hr. 100 mm vrátane bet. lôžka, na šírke 0,20m: 79,38 m2*0,397 t/m</t>
  </si>
  <si>
    <t>odstránenie podkladného betónu chodníka hr. 100 mm: 500,78 m2*0,22 t/m2</t>
  </si>
  <si>
    <t>odstránenie cementom stmelenej zmesy CBGM C5/6 hr. 170 mm vozovky: 1053,15 m2*0,44 t/m2</t>
  </si>
  <si>
    <t>odstránenie asfaltovej ložnej vrstvy vozovky hr. 60 mm: 1205,40 m2*0,181 t/m2</t>
  </si>
  <si>
    <t>odstránenie asfaltovej podkladnej vrstvy vozovky hr. 70 mm: 1084,65 m2*0,181 t/m2</t>
  </si>
  <si>
    <t>odstránenie štrkovej vrstvy, nespevnená krajnica hr. 150 mm: 560,00 m2*0,235 t/m2</t>
  </si>
  <si>
    <t xml:space="preserve">odstránenie nestmelenej vrstvy zo štrkodrviny ŠD 31,5 Gc hr. 200 mm vozovky: 1088,15 m2*0,40 t/m2  </t>
  </si>
  <si>
    <t>odstránenie existujúcich kamenných obrubníkov  á 1 ks 0,5*0,20*0,3, vrátane bet. lôžka: 439,88 m*0,24 t/m</t>
  </si>
  <si>
    <t>odstránenie existujúcich cestný betónových obrubníkov vrátane bet. lôžka: 140,54 m*0,23 t/m</t>
  </si>
  <si>
    <t>odstránenie existujúcich záhonový betónových obrubníkov vrátane bet. lôžka: 234,00 m*0,04 t/m</t>
  </si>
  <si>
    <t>frézovanie asfaltového krytu vozovky, frézovanie hr. 40 mm: 3957,00 m2*0,102 t/m2</t>
  </si>
  <si>
    <t>odstránenie trvalého dopravného značenia základného tvaru komplet: 22,00 ks *0,082 t/ks</t>
  </si>
  <si>
    <t>frézovanie asfaltového krytu vozovky, frézovanie hr. 40 mm</t>
  </si>
  <si>
    <t>rezanie asfaltového krytu vozovky hr. 40 mm</t>
  </si>
  <si>
    <t>rezanie asfaltu pred zálievkou</t>
  </si>
  <si>
    <t>rezanie asfaltovej ložnej vrstvy vozovky hr. 60 mm</t>
  </si>
  <si>
    <t>rezanie asfaltovej podkladnej vrstvy vozovky hr. 70 mm</t>
  </si>
  <si>
    <t>odvoz vegetačného krytu hr. 100 mm s naložením: 0,10*750,00</t>
  </si>
  <si>
    <t>ručné založenie trávnika</t>
  </si>
  <si>
    <t>odstránie humoznej vrstvy hr. 150 mm: 503,00*0,15</t>
  </si>
  <si>
    <t>výmena podložia - geodoska=2 vrstvy ŠD + 1 vrstva dvojosá geomreža: 0,50*275,10</t>
  </si>
  <si>
    <t>601-50  Pozdĺžna súvislá čiara (vonkajšia okrajová – tenká) h=0,12m ... plná ... 0,12*523,00</t>
  </si>
  <si>
    <t>602-52 ... Pozdĺžna prerušovaná čiara (vonkajšia okrajová – na 1-pruhovej obojsmernej vozovke) h=0,12m ... 1,5/1,5 ... 0,12*116,00/2</t>
  </si>
  <si>
    <t>601-60 ... Pozdĺžna súvislá čiara  (stredová) h=0,12m ... plná ... 0,12*150,00</t>
  </si>
  <si>
    <t>602-60 ... Pozdĺžna prerušovaná čiara (stredová) h=0,12m ... 3/3 ... 0,12*207,00/2</t>
  </si>
  <si>
    <t>602-60 ... Pozdĺžna prerušovaná čiara (stredová) h=0,12m ... 3/6 ... 0,12*165,00/2</t>
  </si>
  <si>
    <t>604 ...  STOP čiara ... 6,50*0,50</t>
  </si>
  <si>
    <t>605-60 ... Čakacia čiara (v tvare trojuholníka) 0,5/0,5 ... 0,5/0,5, plocha 1ks 0,125 ... 18*0,125</t>
  </si>
  <si>
    <t>610-50 ... Priechod pre chodcov (vedený kolmo na os vozovky) ... 0,5/0,5 h=4,00m ... 4*46,00/2</t>
  </si>
  <si>
    <t>611-50 ... Miesto na prechádzanie (spoločné) ... 0,5/0,2/0,1 ... 0,12*6*(2/3)*2*2</t>
  </si>
  <si>
    <t xml:space="preserve">620-51 ... vyšráfovaný priestor </t>
  </si>
  <si>
    <t>622-53 ...  Parkovacie miesta (všeobecné - šikmé) ... plná ... 9*0,12*7,00</t>
  </si>
  <si>
    <t>630 ... Smerová šípka (rovno, doľava a doprava) ... 1*1,95=1,95 m2</t>
  </si>
  <si>
    <t>630-30 ...  Smerová šípka (priamo) ... 4*1,30=5,20 m2</t>
  </si>
  <si>
    <t>630-31 ... Smerová šípka (doľava a doprava) ... 2*1,70=3,40 m2</t>
  </si>
  <si>
    <t>652-50 ... Označenie vertikálneho spomaľovacieho prvku (sínusový vertikálny spomaľovač)  dĺ. 12 m+14m ... (21*2*0,12  + 22*0,9*0,12) + (25*2*0,12 + 26*0,9*0,12) + (12*1,5*0,12+ 13*0,9*12) + (11*1,9*0,12+12*09*0,12)</t>
  </si>
  <si>
    <t>cementobetónový kryt CB III hr. 0,31-0,45 m, hr. 390 mm vrátane rezania škár, tesnenia, vystuženia škár - komplet prevedenie - konštrukcia spomaľovacieho prahu: 0,39*227,85</t>
  </si>
  <si>
    <t>rezanie priečnej škáry; hĺbka 150 mm a šírka 3 mm - 26,38m</t>
  </si>
  <si>
    <t>rezanie pozdĺžnej škáry; hĺbka 150 mm a šírka 3 mm - 28,11m</t>
  </si>
  <si>
    <t>priečna dilatačná vystužená škára medzi AB a CB, šírka 20 mm - 50,04m</t>
  </si>
  <si>
    <t>pozdĺžna dilatačná nevystužená škára (medzi CB krytom a obrubníkimi), šírka 20 mm - 35,43m</t>
  </si>
  <si>
    <t>preplach škár tlakovou vodou - 54,49m</t>
  </si>
  <si>
    <t>rezanie rozširovacej komôrky - 54,49m</t>
  </si>
  <si>
    <t>pružná asf. zálievka za studena+ penetračný alebo adhézny náter (dilat. škára cb kryt s asfalt voz) - 85,47m</t>
  </si>
  <si>
    <t>tesniaci profil z mikroporéznej gumy ɸ 25 mm - 85,47m</t>
  </si>
  <si>
    <t>Kari sieť 150/150/8 - 2x3 m- 82 ks - 2656kg</t>
  </si>
  <si>
    <t>klzné tŕne dĺžky 500mm, priemer 30mm, hladká oceľ S235JR, PVC povlak - 170ks</t>
  </si>
  <si>
    <t>kovový had DBV 60 mm - 1878 ks - 20048kg</t>
  </si>
  <si>
    <t>EPS 70 doska, hr. 20 mm - 55,56m2</t>
  </si>
  <si>
    <t>zálievková hmota spracovaná zastudena - 54,49m</t>
  </si>
  <si>
    <t>adhézny náter - 27,25 m2</t>
  </si>
  <si>
    <t>tesniaci profil (povrazec) z mikroporéznej gumy ɸ 12 mm - 26,38m</t>
  </si>
  <si>
    <t>tesniaci profil (povrazec) z mikroporéznej gumy ɸ 10 mm - 28,11 m</t>
  </si>
  <si>
    <t>poskrek proti vysychaniu - 208,63m2</t>
  </si>
  <si>
    <t>úprava povrchu CBK - priečna striáž - 208,63m2</t>
  </si>
  <si>
    <t>debnenie - 32,60m2</t>
  </si>
  <si>
    <t>spojovací postrek PS;B 0,5 kg/m2 - asfaltový chodník</t>
  </si>
  <si>
    <t>spojovací postrek PS, PMB - vozovka</t>
  </si>
  <si>
    <t>asfaltový betón AC 8, 50/70, II., hr. 40 mm - asfaltový chodník: 0,04*80,00</t>
  </si>
  <si>
    <t xml:space="preserve">asfaltový betón AC 16 L; PMB 45/80-75; I; hr. 60 mm - vozovka: 0,06*625,00   </t>
  </si>
  <si>
    <t>asfaltový koberec mastixový SMA 11 O, I; hr. 40 mm - vozovka: 0,04*3355,40</t>
  </si>
  <si>
    <t xml:space="preserve">kamenná prídlažba kocky 120 mm*120mm*120mm (spolu s cestným obrubníkom, pri nájazdoch, pri UV  do bet lôžka, , vyšpárované asfaltovou zálievkou, šírka 0,25 </t>
  </si>
  <si>
    <t>kamenná prídlažba kocky 100mm*100mm*100mm do emulznej špárovacej hmoty</t>
  </si>
  <si>
    <t>nájazdy do dvorov z kocky 120*120*120mm, do bet lôžka, zálievka asfaltová</t>
  </si>
  <si>
    <t>betónová dlažba DL hr. 80 mm sivá veľkosť dlažby 200/100 mm vrátane lôžka z drveného kameniva fr. 4/8 hr. 40 mm - betónový chodník</t>
  </si>
  <si>
    <t>betónová dlažba DL hr. 80 mm sivá nábehy vrátane lôžka z drveného kameniva fr. 4/8 hr. 40 mm - betónový chodník</t>
  </si>
  <si>
    <t>asfaltová zálievka - medzi kameňmi nájazdy hr. 120 mm</t>
  </si>
  <si>
    <t>dopravné zrkadlo komplet</t>
  </si>
  <si>
    <t>212-20 ... Prikázaný smer obchádzania</t>
  </si>
  <si>
    <t>215-10 ... Zákaz odbočenia (vľavo)</t>
  </si>
  <si>
    <t>271-10 ... Zákaz státia (umiestnenie šikmo/pozdĺžne vľavo: začiatok platnosti)</t>
  </si>
  <si>
    <t>271-20 ... Zákaz státia (umiestnenie šikmo/pozdĺžne vpravo: koniec platnosti),</t>
  </si>
  <si>
    <t>271-30 ... Zákaz státia (umiestnenie šikmo/pozdĺžne vpravo: priebeh platnosti)</t>
  </si>
  <si>
    <t>272-10 ... Parkovanie (umiestnenie šikmo/pozdĺžne vpravo: začiatok platnosti</t>
  </si>
  <si>
    <t>272-20 ... Parkovanie (umiestnenie šikmo/pozdĺžne vpravo: koniec platnosti,</t>
  </si>
  <si>
    <t>321-10 ... Jednosmerná cesta (tu vľavo)</t>
  </si>
  <si>
    <t>506-52 ... Platí pre (nákladné vozidlá)</t>
  </si>
  <si>
    <t>508-7,5 ... Hmotnosť (7,5 t)</t>
  </si>
  <si>
    <t>vrátane stĺpikov - 22 ks</t>
  </si>
  <si>
    <t>cestný kamenný obrubník bez skosenia 250/150 mm do drenážnej lôžkovej malty C30/35 XF 2(SK)-CI 0,40 550x325 mm (aj pod prídlažbou ako celok) - vzorové  priečny rez, vyšpárované - 105 m3</t>
  </si>
  <si>
    <t>záhonový obrubník kamenný do betónového lôžka á 1 kus, 250/ 80mm - 15,67 m3</t>
  </si>
  <si>
    <t xml:space="preserve">nestmelená vrstva zo štrkodrviny ŠD 31,5 Gc, hr. 200 mm - vozovka: 0,20*450,00        </t>
  </si>
  <si>
    <t>nestmelená vrstva zo štrkodrviny UM ŠD; 0/31,5 Gc hr. 190 mm - konštrukcia spomaľovacieho prahu: 0,19*275,00</t>
  </si>
  <si>
    <t>nestmelená vrstva zo štrkodrviny ŠD 31,5 Gc min. 200 mm, hr. 200 mm - betónový chodník: 0,20*2190,10</t>
  </si>
  <si>
    <t>nestmelená vrstva zo štrkodrviny ŠD 31,5 Gc min. 150 mm, hr. 150 mm - asfaltový chodník: 0,15*80,00</t>
  </si>
  <si>
    <t>spevnenie  štrkodrvinou fr. 16-32 hr. 150 mm + zhutnenie: 0,15*157,50</t>
  </si>
  <si>
    <t>podkladný betón (na celú šírku chodníka) C 12/15 XF 2 (SK)-CI 0,4 hr. 120 mm: 0,12*2090,55</t>
  </si>
  <si>
    <t>podkladný betón C 12/15 XF 2 (SK)-CI 0,4 hr. 120 mm - asfaltový chodník: 0,12*80,00</t>
  </si>
  <si>
    <t>podkladný betón C 25/30 XF 2 (SK)-CI 0, hr. 250 mm - vozovka: 0,25*450,00</t>
  </si>
  <si>
    <t xml:space="preserve">asfaltový betón  AC 22 P, I; hr. 70 mm - vozovka: 0,07*625,00            </t>
  </si>
  <si>
    <t>podkladný betón pod okameňovanie svahu hr. 100 mm</t>
  </si>
  <si>
    <t>ŠP pod spevnenie svahu hr. 100 mm</t>
  </si>
  <si>
    <t>Úprava komunikácií a chodníkov na uliciach Habánsky mlyn, Gaštanová ul., Valašská ul.</t>
  </si>
  <si>
    <t>201 Oporný múr na ulici Pri Habánskom mlyne</t>
  </si>
  <si>
    <t>výplň betónových tvaroviek múra ornicou - nakupovaný materiál</t>
  </si>
  <si>
    <t>dovoz nakupovanej ornice</t>
  </si>
  <si>
    <t>nakladanie nakupovanej ornice</t>
  </si>
  <si>
    <t>zahumusovanie hr. 100 mm za múrom</t>
  </si>
  <si>
    <t>výkop pre múr</t>
  </si>
  <si>
    <t>štrkový zásyp fr. 16/32 mm - nakupovaný materiál</t>
  </si>
  <si>
    <t>za múrom</t>
  </si>
  <si>
    <t>pred múrom</t>
  </si>
  <si>
    <t>betónové svahové tvarovky C30/37</t>
  </si>
  <si>
    <t>400x600x250 - 88 ks</t>
  </si>
  <si>
    <t>400x300x250 - 7 ks</t>
  </si>
  <si>
    <t>0,4*0,6*0,25*88+0,4*0,3*0,35*7</t>
  </si>
  <si>
    <t>vrátane výplňového betónu C16/20 - 2,45 m3</t>
  </si>
  <si>
    <r>
      <t xml:space="preserve">vrátane betonárskej výstuže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10 - 500 mm - 54 ks - 17,49 kg</t>
    </r>
  </si>
  <si>
    <t>1xPN+2xAN - plocha uvedená pre jeden náter</t>
  </si>
  <si>
    <t>podkladový betón pod tvárnice múra</t>
  </si>
  <si>
    <t>Oporný múr na ulici Pri Habánskom mlyne</t>
  </si>
  <si>
    <t>202 Zábrany na mostných konštrukciách</t>
  </si>
  <si>
    <t>Trakčné vedenia - trolejbusy, konzoly</t>
  </si>
  <si>
    <t>Trakčné vedenia - trolejbusy, konzoly na ostatné konštrukcie</t>
  </si>
  <si>
    <t>nosná konštrukcia jakl 50x50x6 + kotvenie (komplet pre jedno miesto)</t>
  </si>
  <si>
    <t>Trakčné vedenia-električky, revízie a skúšky, revízia a revízna správa</t>
  </si>
  <si>
    <t xml:space="preserve">Vystavenie revíznej správy UTZ - Úradná skúška   </t>
  </si>
  <si>
    <t>45.26.21</t>
  </si>
  <si>
    <t>Lešenárske práce</t>
  </si>
  <si>
    <t>03050500</t>
  </si>
  <si>
    <t>Ochranné konštrukcie, záchytná strieška</t>
  </si>
  <si>
    <t>0305050001</t>
  </si>
  <si>
    <t>Ochranné konštrukcie, záchytná strieška  š. do 2 m</t>
  </si>
  <si>
    <t>sklo - textitová doska š. 1m</t>
  </si>
  <si>
    <t>45.50.00</t>
  </si>
  <si>
    <t>Prenájom stavebných strojov a zariadení a strojov a zariadení  stavebného inžinierstva s obsluhou</t>
  </si>
  <si>
    <t>10020101</t>
  </si>
  <si>
    <t>Žeriavy, výťahy a plošiny, žeriavy, mobilné</t>
  </si>
  <si>
    <t>1002010101</t>
  </si>
  <si>
    <t>Žeriavy, výťahy a plošiny, žeriavy, mobilné, kolesový podvozok</t>
  </si>
  <si>
    <t>plošina (42 Nh)</t>
  </si>
  <si>
    <t>žeriav (36 Nh)</t>
  </si>
  <si>
    <t>Zábrany na mostných konštrukciách</t>
  </si>
  <si>
    <t>301 Meniareň Karlova Ves</t>
  </si>
  <si>
    <t>z pol.č.05080200</t>
  </si>
  <si>
    <t>nové otvory v strope 1pp</t>
  </si>
  <si>
    <t>0,12*0,5*(1,4+1,23)</t>
  </si>
  <si>
    <t>0,12*0,31*3,0</t>
  </si>
  <si>
    <t>0,12*0,15*0,42</t>
  </si>
  <si>
    <t>0,12*0,15*(0,325+0,285+0,34+0,29)</t>
  </si>
  <si>
    <t>0,12*0,15*0,4*4</t>
  </si>
  <si>
    <t>0502034005</t>
  </si>
  <si>
    <t>Vybúranie konštrukcií a demontáže, inštalačného vedenia a príslušenstva elektroinštalačného silnoprúdové vedenia vnútorné</t>
  </si>
  <si>
    <t>časť 900 Technológia meniarne DC - výmena rozvádzačov - RNK, RSK</t>
  </si>
  <si>
    <t>demontáž existujúcich káblových prepojov CHBU 240 (6*4*25m)</t>
  </si>
  <si>
    <t>časť 920 Riadiaci systém</t>
  </si>
  <si>
    <t>demontáž existujúcich káblových prepojov</t>
  </si>
  <si>
    <t>0502034006</t>
  </si>
  <si>
    <t>Vybúranie konštrukcií a demontáže, inštalačného vedenia a príslušenstva elektroinštalačného silnoprúd-príslušenstvo vnútorné</t>
  </si>
  <si>
    <t>demontáž existujúcich rozvádzačov RNK, RSK, RZO vr. prepojov</t>
  </si>
  <si>
    <t>demontáž existujúceho rozvádzača DO</t>
  </si>
  <si>
    <t>05080186</t>
  </si>
  <si>
    <t xml:space="preserve">Doprava vybúraných hmôt zvislá, po schodoch </t>
  </si>
  <si>
    <t>0508018601</t>
  </si>
  <si>
    <t>Doprava vybúraných hmôt zvislá, po schodoch, jedno podlažie</t>
  </si>
  <si>
    <t>z pol.č.05010305: 2,4t/m3x0,33m3</t>
  </si>
  <si>
    <t>odvoz na spoplatnenú skládku: 0,79</t>
  </si>
  <si>
    <t>05080387</t>
  </si>
  <si>
    <t>Doprava vybúraných hmôt vnútrostavenisková, ručne</t>
  </si>
  <si>
    <t>0508038701</t>
  </si>
  <si>
    <t>Doprava vybúraných hmôt vnútrostavenisková, ručne do 10 m</t>
  </si>
  <si>
    <t>05090405</t>
  </si>
  <si>
    <t>Doplňujúce práce, diamantové rezanie betónovej konštrukcie</t>
  </si>
  <si>
    <t>0,5*2*2+1,4*2+1,23*2</t>
  </si>
  <si>
    <t>0,31*2+3,0*2</t>
  </si>
  <si>
    <t>0,15*2+0,42*2+0,15*2*8+0,325*2+0,285*2+0,34*2+0,29*2+0,4*2*4</t>
  </si>
  <si>
    <t>45.21.33</t>
  </si>
  <si>
    <t>Budovy súvisiace s dopravou</t>
  </si>
  <si>
    <t>11070102</t>
  </si>
  <si>
    <t>Stropné a strešné konštrukcie budov (pozemných stavieb) plošné, klenby z betónu železového</t>
  </si>
  <si>
    <t>1107010206</t>
  </si>
  <si>
    <t>Stropné a strešné konštrukcie budov (pozemných stavieb) plošné, klenby z betónu železového, tr. C 25/30 (B 30)</t>
  </si>
  <si>
    <t>1 np, zabetónovanie otvorov - hr.120 mm</t>
  </si>
  <si>
    <t>0,12*0,35*(0,6+1,43+1,24+1,24)</t>
  </si>
  <si>
    <t>0,12*0,35*(1,24+1,44+1,24)-0,12*0,17*(0,4*3+0,34+0,39+0,3+0,25)</t>
  </si>
  <si>
    <t>0,12*0,5*(1,4+1,23)-0,12*0,15*1,02*4</t>
  </si>
  <si>
    <t>0,12*(0,38*0,42+0,43*0,49+0,36*0,36+0,43*0,49+0,68*0,36+0,15*0,56+0,36*0,45+0,14*1,2+0,4*0,4)</t>
  </si>
  <si>
    <t>0,12*0,31*3,0+0,12*0,15*(0,35+0,4*4)</t>
  </si>
  <si>
    <t>11070112</t>
  </si>
  <si>
    <t>Stropné a strešné konštrukcie budov (pozemných stavieb) plošné, klenby debnenie z dielcov</t>
  </si>
  <si>
    <t>1107011201</t>
  </si>
  <si>
    <t>Stropné a strešné konštrukcie budov (pozemných stavieb) plošné, klenby debnenie z dielcov drevených</t>
  </si>
  <si>
    <t>(0,35*(0,6+1,43+1,24+1,24))*5,27/1000</t>
  </si>
  <si>
    <t>(0,35*(1,24+1,44+1,24)-0,12*0,17*(0,4*3+0,34+0,39+0,3+0,25))*5,27/1000</t>
  </si>
  <si>
    <t>(0,5*(1,4+1,23)-0,12*0,15*1,02*4)*</t>
  </si>
  <si>
    <t>vr. podpornej konštrukcie</t>
  </si>
  <si>
    <t>11070121</t>
  </si>
  <si>
    <t>Stropné a strešné konštrukcie budov (pozemných stavieb) plošné, klenby výstuž z betonárskej ocele</t>
  </si>
  <si>
    <t>1107012107</t>
  </si>
  <si>
    <t>Stropné a strešné konštrukcie budov (pozemných stavieb) plošné, klenby výstuž z betonárskej ocele zo zváraných sietí</t>
  </si>
  <si>
    <t>výkr.č.202 / KARI 8/8-100/100</t>
  </si>
  <si>
    <t>0,72/0,12*7,9/1000</t>
  </si>
  <si>
    <t>12070413</t>
  </si>
  <si>
    <t>Stropné a strešné konštrukcie budov (pozemných stavieb), nosníky z valcovaného materiálu</t>
  </si>
  <si>
    <t>1207041301</t>
  </si>
  <si>
    <t>Stropné a strešné konštrukcie budov (pozemných stavieb), nosníky z valcovaného materiálu tvaru I alebo U</t>
  </si>
  <si>
    <t xml:space="preserve">výkr.č.202 </t>
  </si>
  <si>
    <t>pol.č.1 / IPE 100 (46,00 m) - 372,4/1000</t>
  </si>
  <si>
    <t>pol.č.1 / PL 100x10x180 (62 ks) - 87,6/1000</t>
  </si>
  <si>
    <t>pol.č.2 / L 60x60x6 (56,8 m) - 307,6/1000</t>
  </si>
  <si>
    <t>vr. povrch. úpravy a chem.kotvenia</t>
  </si>
  <si>
    <t>13010309</t>
  </si>
  <si>
    <t>Vnútorné povrchy stropov a podhľadov schodiskových konštrukcií, omietka hladká zo suchej omietkovej zmesi</t>
  </si>
  <si>
    <t>zabetónované otvory</t>
  </si>
  <si>
    <t>0,72/0,12</t>
  </si>
  <si>
    <t>ostatné vysprávky / odhad</t>
  </si>
  <si>
    <t>84020326</t>
  </si>
  <si>
    <t>Maľby stropov, zmesi tekuté</t>
  </si>
  <si>
    <t>8402032602</t>
  </si>
  <si>
    <t>Maľby stropov, zmesi tekuté, dvojnásobné</t>
  </si>
  <si>
    <t>akrylátový, umyvateľný náter stropov, dvojnásobná , vr. Penetrácie</t>
  </si>
  <si>
    <t>pol.č.13010309: 16,0</t>
  </si>
  <si>
    <t>91282501</t>
  </si>
  <si>
    <t>Trakčné vedenia-električky, napájacie a spätné káble, AYKCY 1x500 mm2 v. ul.</t>
  </si>
  <si>
    <t>kábel 6-AYKCY 1x500</t>
  </si>
  <si>
    <t>91282506</t>
  </si>
  <si>
    <t>Trakčné vedenia-električky, napájacie a spätné káble, koncovka káblová zmršťovacia vnútorná do 1x500 mm2, 6 kV</t>
  </si>
  <si>
    <t>káblová koncovka vnútroná</t>
  </si>
  <si>
    <t>91282507</t>
  </si>
  <si>
    <t>Trakčné vedenia-električky, napájacie a spätné káble, spojka káblová zmršťovacia do 1x500 mm2, 6 kV</t>
  </si>
  <si>
    <t>káblová spojka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</si>
  <si>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</si>
  <si>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</si>
  <si>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</si>
  <si>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</si>
  <si>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"pojazdné lešenie"50</t>
  </si>
  <si>
    <t>92040101</t>
  </si>
  <si>
    <t>Slaboprúdové rozvody (vnútorné inštalácie) - káble Cu oznamovacie</t>
  </si>
  <si>
    <t>Slaboprúdové rozvody (vnútorné inštalácie) - káble Cu oznamovacie ulož. voľne</t>
  </si>
  <si>
    <t>kábel PROFINET NBC-M8MSD</t>
  </si>
  <si>
    <t>92043102</t>
  </si>
  <si>
    <t>Slaboprúdové rozvody (vnútorné inštalácie) - skrine káblové</t>
  </si>
  <si>
    <t>9204310201</t>
  </si>
  <si>
    <t>Slaboprúdové rozvody (vnútorné inštalácie) - skrine káblové kovové</t>
  </si>
  <si>
    <t>skriňa diaľkového ovládania RDO (600x2000x600mm), krytie IP4x</t>
  </si>
  <si>
    <t>hlavné časti:</t>
  </si>
  <si>
    <t>priemyselné PC  + operačný SW Windows 10 - LTSB</t>
  </si>
  <si>
    <t>PLC SimaticS7-1200 - DI, DO, DA</t>
  </si>
  <si>
    <t>prevodník optika - ethernet</t>
  </si>
  <si>
    <t>stabilizovaný zdroj 230V / 24V  10A</t>
  </si>
  <si>
    <t>stabilizovaný zdroj 230V / 60V  10A</t>
  </si>
  <si>
    <t>UPS</t>
  </si>
  <si>
    <t>SWITCH 16</t>
  </si>
  <si>
    <t>istič jednopólový s prúdovým chráničom</t>
  </si>
  <si>
    <t>istič jednopólový</t>
  </si>
  <si>
    <t>zásuvka montážna</t>
  </si>
  <si>
    <t>svorka radová  Weidmuller ZDU</t>
  </si>
  <si>
    <t>SW pre meniareň</t>
  </si>
  <si>
    <t>SW pre elektrodispečing</t>
  </si>
  <si>
    <t>91020201</t>
  </si>
  <si>
    <t>Oceľové konštrukcie - káblové rošty - zosil. vyhotovenie, kovové</t>
  </si>
  <si>
    <t>9102020103</t>
  </si>
  <si>
    <t>Oceľové konštrukcie - káblové rošty - zosil. vyhotovenie, kovové s náterom</t>
  </si>
  <si>
    <t xml:space="preserve">káblové rošty/lávky - doplnenie </t>
  </si>
  <si>
    <t>91023001</t>
  </si>
  <si>
    <t>9102300102</t>
  </si>
  <si>
    <t>káblové príchytky</t>
  </si>
  <si>
    <t>91070101</t>
  </si>
  <si>
    <t>Holé spojovacie vedenia, prípojnicové rozvody - NN prípojnicový rozvod Cu</t>
  </si>
  <si>
    <t>9107010103</t>
  </si>
  <si>
    <t>Holé spojovacie vedenia, prípojnicové rozvody - NN prípojnicový rozvod Cu zapuzdrený, prachotesný</t>
  </si>
  <si>
    <t>prepojovací zbernicový prípojnicový most Cu (3,5m*2)</t>
  </si>
  <si>
    <t>9108010102</t>
  </si>
  <si>
    <t>Káble Cu - NN káble silové ulož. pevne</t>
  </si>
  <si>
    <t>kábel CHBU 1x240</t>
  </si>
  <si>
    <t>91100101</t>
  </si>
  <si>
    <t>9110010101</t>
  </si>
  <si>
    <t>Káblové súbory, ukončenie vodičov - NN káblové koncovky staničné jednožilové</t>
  </si>
  <si>
    <t>ukončenie NN káblov</t>
  </si>
  <si>
    <t>funkčné skúšky, revízie, úradná skúška</t>
  </si>
  <si>
    <t>91190101</t>
  </si>
  <si>
    <t>Rozvádzače - NN  rozvádzače, 1 pole</t>
  </si>
  <si>
    <t>9119010102</t>
  </si>
  <si>
    <t>Rozvádzače - NN  rozvádzače, 1 pole silové, prúd jednosmerný</t>
  </si>
  <si>
    <t>rozvádzač RNK (R+660V) - 19 polí:</t>
  </si>
  <si>
    <t>U1 - prívodné pole od usmerňovača č.1</t>
  </si>
  <si>
    <t>N1R - rezerva</t>
  </si>
  <si>
    <t>N2 - vývodové pole pre napojenie električiek</t>
  </si>
  <si>
    <t>N3 - vývodové pole pre napojenie električiek</t>
  </si>
  <si>
    <t>N4 - vývodové pole pre napojenie električiek</t>
  </si>
  <si>
    <t>PS – prechodová skriňa</t>
  </si>
  <si>
    <t>N5 - vývodové pole pre napojenie električiek</t>
  </si>
  <si>
    <t>N6 - vývodové pole pre napojenie električiek</t>
  </si>
  <si>
    <t>U2 - prívodné pole od usmerňovača č.2</t>
  </si>
  <si>
    <t>N7 - vývodové pole pre napojenie električiek</t>
  </si>
  <si>
    <t>N8 - vývodové pole pre napojenie električiek</t>
  </si>
  <si>
    <t>N9 - vývodové pole pre napojenie električiek</t>
  </si>
  <si>
    <t>SNS-PP – pole skrine spojky pomocnej prípojnice, prepojovací most</t>
  </si>
  <si>
    <t>U3 - prívodné pole od usmerňovača č.3</t>
  </si>
  <si>
    <t>N10 - vývodové pole pre napojenie trolejbusov</t>
  </si>
  <si>
    <t>N11 - vývodové pole pre napojenie trolejbusov</t>
  </si>
  <si>
    <t>N12 - vývodové pole pre napojenie trolejbusov</t>
  </si>
  <si>
    <t>N13R – rezerva</t>
  </si>
  <si>
    <t>PS – prechodová skriňa s prepojovacím mostom</t>
  </si>
  <si>
    <t>rozvádzač RSK (R-660V) - 7 polí:</t>
  </si>
  <si>
    <t>RUZ.U1, U2, U3 - prívodné pole od usmerňovača č.1, 2 a 3</t>
  </si>
  <si>
    <t>RUZ.T1 - vývodové pole pre napojenie električiek</t>
  </si>
  <si>
    <t>RUZ.T2 - vývodové pole pre napojenie električiek</t>
  </si>
  <si>
    <t>RUZ.T3 - vývodové pole pre napojenie električiek</t>
  </si>
  <si>
    <t>RUZ.B1 - vývodové pole pre napojenie trolejbusov</t>
  </si>
  <si>
    <t>doplnenie skrine signalizácie SS o zemnú ochranu ZO</t>
  </si>
  <si>
    <t>45.31.57</t>
  </si>
  <si>
    <t>Inštalovanie spínacích staníc +A1</t>
  </si>
  <si>
    <t>pripojenie rozvádzačov RNK, RSK na existujúce vnútorné uzemnenie meniarne vr. príslušenstva</t>
  </si>
  <si>
    <t>301</t>
  </si>
  <si>
    <t>Meniareň Karlova Ves</t>
  </si>
  <si>
    <t>302  Zariadenia zastávok, Informačné tabule , stavebná časť</t>
  </si>
  <si>
    <t>zastávka "D" - búranie betónových pätiek existujúceho zábradlia: 0,50*0,50*0,80*15</t>
  </si>
  <si>
    <t>zastávka "E" - búranie betónových pätiek existujúceho zábradlia: 0,50*0,50*0,80*53</t>
  </si>
  <si>
    <t>zastávka "D" - odstránenie existujúceho oceľového zábradlia v=1,10 m: 98,00+2,00</t>
  </si>
  <si>
    <t>zastávka "E" - odstránenie existujúceho oceľového zábradlia v=1,10 m</t>
  </si>
  <si>
    <t>zastávka "D" - búranie betónových pätiek existujúceho zábradlia: 3,00 m3*2,2 t/m3</t>
  </si>
  <si>
    <t>zastávka "E" - búranie betónových pätiek existujúceho zábradlia: 10,60 m3*2,2 t/m3</t>
  </si>
  <si>
    <t>zastávka "D" - odstránenie existujúceho oceľového zábradlia v=1,10 m: 100,00 m* 0,035 t/m</t>
  </si>
  <si>
    <t>zastávka "E" - odstránenie existujúceho oceľového zábradlia v=1,10 m: 155,00 m* 0,012 t/m</t>
  </si>
  <si>
    <t>zastávka "A":</t>
  </si>
  <si>
    <t>výkop pre pätky - označník + tabuľa: 0,60*0,60*0,80*1</t>
  </si>
  <si>
    <t>výkop pre pätky - smetný kôš: 0,35*0,55*0,35*1</t>
  </si>
  <si>
    <t>výkop pre pätky - automat na lístky: 0,60*0,60*0,60*1</t>
  </si>
  <si>
    <t>zastávka "B":</t>
  </si>
  <si>
    <t>výkop pre pätky - tabuľa: 0,60*0,60*0,80*1</t>
  </si>
  <si>
    <t>zastávka "C":</t>
  </si>
  <si>
    <t>zastávka "D":</t>
  </si>
  <si>
    <t>výkop pre pätky - zábradlie - 94,00 m: 0,40*0,40*0,80*2+0,40*0,60*0,80*21</t>
  </si>
  <si>
    <t>výkop pre pätky - zábradlie - 4,76 m: 0,40*0,40*0,80*1+0,40*0,60*0,80*2</t>
  </si>
  <si>
    <t>zastávka "E":</t>
  </si>
  <si>
    <t>výkop pre pätky - zábradlie: 0,40*0,40*1,30*112</t>
  </si>
  <si>
    <t>zastávka "D" - zásyp pätiek existujúceho oceľového zábradlia: 0,50*0,50*0,80*15</t>
  </si>
  <si>
    <t>zastávka "E" - zásyp pätiek existujúceho oceľového zábradlia: 0,50*0,50*0,80*53</t>
  </si>
  <si>
    <t>zastávka "E" - zásyp pätiek nového oceľového zábradlia: 0,40*0,40*0,50*112</t>
  </si>
  <si>
    <t>zastávka "A" - bratislavský smetný kôš s kotvením , typ podľa PD"   1</t>
  </si>
  <si>
    <t>zastávka "B" - bratislavský smetný kôš s kotvením , typ podľa PD"   1</t>
  </si>
  <si>
    <t>zastávka "C" - bratislavský smetný kôš s kotvením , typ podľa PD"   1</t>
  </si>
  <si>
    <t>zastávka "D" - bratislavský smetný kôš s kotvením , typ podľa PD"   1</t>
  </si>
  <si>
    <t>zastávka "D" - prístrešok ako hotový výrobok komplet prevedenie - základná nosná konštrukcia je tvorená oceľovými stĺpami. zadná stena prístrešku je riešená zasklením ako i bočné steny, typ podľa PD"   1</t>
  </si>
  <si>
    <t>zastávka "A" - označník + elektronická tabuľa s kamerovým systémom s kotvením na samostatnom združenom stĺpe, typ podľa PD"  1</t>
  </si>
  <si>
    <t>zastávka "B" - označník na existúcom stĺpe + elektronická tabuľa s kamerovým systémom s kotvením na samostatnom združenom stĺpe, typ podľa PD"  1</t>
  </si>
  <si>
    <t>zastávka "C" - označník + elektronická tabuľa s kamerovým systémom s kotvením na existujúcom stĺpe, typ podľa PD"  1</t>
  </si>
  <si>
    <t>zastávka "D" - označník na existúcom stĺpe + elektronická tabuľa s kamerovým systémom s kotvením na samostatnom združenom stĺpe, typ podľa PD"  1</t>
  </si>
  <si>
    <t>22251288</t>
  </si>
  <si>
    <t>Doplňujúce konštrukcie,  kábelovody z rúr PCL</t>
  </si>
  <si>
    <t>k pätke pod označník + tabuľu - rúra ohybná D50 z PLC - 0,95</t>
  </si>
  <si>
    <t>k pätke pod automat - rúra ohybná D50 z PLC - 0,75</t>
  </si>
  <si>
    <t>k pätke pod tabuľu - rúra D50 ohybná z PLC - 0,95</t>
  </si>
  <si>
    <t>k pätke pod tabuľu a prístrešok - rúra ohybná D50 z PLC - 0,95</t>
  </si>
  <si>
    <t>bet. pätka pre označník + tabuľa: 0,60*0,60*0,80*1</t>
  </si>
  <si>
    <t>bet. pätka pre smetný kôš: 0,35*0,55*0,35*1</t>
  </si>
  <si>
    <t>bet. pätka pre automat na lístky: 0,60*0,60*0,60*1</t>
  </si>
  <si>
    <t>bet. pätka pre tabuľu: 0,60*0,60*0,80*1</t>
  </si>
  <si>
    <t>bet. pätka pre zábradlie - 94,00 m: 0,40*0,40*0,80*2+0,40*0,60*0,80*21</t>
  </si>
  <si>
    <t>bet. pätka pre zábradlie - 4,76 m: 0,40*0,40*0,80*1+0,40*0,60*0,80*2</t>
  </si>
  <si>
    <t>bet. pätka pre zábradlie: 0,40*0,40*0,80*112</t>
  </si>
  <si>
    <t>45.34.10</t>
  </si>
  <si>
    <t>Montáž zábradlí</t>
  </si>
  <si>
    <t>67020101</t>
  </si>
  <si>
    <t>Zábradlie rovné, z profilovej ocele</t>
  </si>
  <si>
    <t>zastávka "D" - oceľové zábradlie vrátane povrchovej úpravy, kotevného materiálu a priemyselnej čiernej gumy hr. 10 mm (10x160x160 - 106+6=112 ks): 94,00+4,76</t>
  </si>
  <si>
    <t>vrátane očistenia mechanicky v celej dĺžke múra + povrch sa natrie ochranným náterom S5a označenie OS-D II - vrstvy pre nepôchodzné plochy s nepatrnou schopnosťou premosťovať trhliny - 101,84 m2</t>
  </si>
  <si>
    <t>zastávka "E" - oceľové zábradlie vrátane povrchovej úpravy priamo osadené do základových pätiek</t>
  </si>
  <si>
    <t>Zariadenia zastávok, Informačné tabule , stavebná časť</t>
  </si>
  <si>
    <t>303 Úprava oplotenia na ulici Pri Habánskom mlyne</t>
  </si>
  <si>
    <t>úsek "A" - búranie betónových pätiek existujúceho oplotenia: 0,50*0,50*0,80*14</t>
  </si>
  <si>
    <t>úsek "A" - búranie betónových pätiek existujúceho oplotenia - majiteľovi: 0,50*0,50*1,00*4</t>
  </si>
  <si>
    <r>
      <t xml:space="preserve">úsek "A" - búranie betónových pätiek existujúceho oplotenia - </t>
    </r>
    <r>
      <rPr>
        <b/>
        <i/>
        <sz val="10"/>
        <rFont val="Arial CE"/>
        <family val="2"/>
        <charset val="238"/>
      </rPr>
      <t>len premiestnenie!!!</t>
    </r>
    <r>
      <rPr>
        <i/>
        <sz val="10"/>
        <rFont val="Arial CE"/>
        <family val="2"/>
        <charset val="238"/>
      </rPr>
      <t>: 0,50*0,50*1,00*7</t>
    </r>
  </si>
  <si>
    <t>úsek "B" - búranie betónových pätiek existujúceho oplotenia: 0,40*0,40*0,80*5</t>
  </si>
  <si>
    <t>úsek "C" - búranie betónových pätiek existujúceho oplotenia: 0,40*0,40*0,80*20</t>
  </si>
  <si>
    <t>úsek "C" - búranie betónových plôch hr. 100 mm:13,20*0,10</t>
  </si>
  <si>
    <t>úsek "D" - búranie betónových pätiek existujúceho oplotenia: 0,50*0,50*0,80*34</t>
  </si>
  <si>
    <t>05010304</t>
  </si>
  <si>
    <t>Búranie konštrukcií stropov, klenieb, schodov betónových, sklobetónových</t>
  </si>
  <si>
    <t>úsek "C" - búranie betónových existujúcich schodov - 2 ks: (0,72+1,02)*1,5</t>
  </si>
  <si>
    <t>úsek "A" - odstránenie všetkých oceľových konštrukcií existujúceho oplotenia - majiteľovi</t>
  </si>
  <si>
    <t>úsek "A" - odstránenie existujúceho oceľového oplotenia</t>
  </si>
  <si>
    <t>úsek "B" - odstránenie existujúceho oceľového oplotenia</t>
  </si>
  <si>
    <t>úsek "C" - odstránenie existujúceho oceľového oplotenia</t>
  </si>
  <si>
    <t>úsek "C" - odstránenie existujúcej oceľovej brány, v=1,50m, š=1,0m; 2 ks</t>
  </si>
  <si>
    <t>úsek "D" - odstránenie existujúceho oceľového oplotenia</t>
  </si>
  <si>
    <t>0508020001</t>
  </si>
  <si>
    <t>Doprava vybúraných hmôt vodorovná, do 50 m</t>
  </si>
  <si>
    <t>úsek "A" - búranie betónových pätiek existujúceho oplotenia: 1,00 m3*2,2 t/m3</t>
  </si>
  <si>
    <t>úsek "A" - odstránenie všetkých oceľových konštrukcií existujúceho oplotenia - majiteľovi: 1 ks*0,52 t/ks</t>
  </si>
  <si>
    <t>premiestnenie existujúcich pätiek</t>
  </si>
  <si>
    <t>úsek "A" - premiestnenie betónových pätiek existujúcej konštrukcie reklamy: 1,75 m3*2,2 t/m3</t>
  </si>
  <si>
    <t>úsek "A" - búranie betónových pätiek existujúceho oplotenia: 2,80 m3*2,2 t/m3</t>
  </si>
  <si>
    <t>úsek "B" - búranie betónových pätiek existujúceho oplotenia: 0,64 m3*2,2 t/m3</t>
  </si>
  <si>
    <t>úsek "C" - búranie betónových pätiek existujúceho oplotenia: 2,56 m3*2,2 t/m3</t>
  </si>
  <si>
    <t>úsek "C" - búranie betónových existujúcich schodov - 2 ks: 2,61 m3*2,2 t/m3</t>
  </si>
  <si>
    <t>úsek "C" - búranie betónových plôch hr. 100 mm: 1,32 m3*2,2 t/m3</t>
  </si>
  <si>
    <t>úsek "D" - búranie betónových pätiek existujúceho oplotenia: 6,80 m3*2,2 t/m3</t>
  </si>
  <si>
    <t>úsek "A" - odstránenie existujúceho oceľového oplotenia: 29,00 m*0,018 t/m</t>
  </si>
  <si>
    <t>úsek "B" - odstránenie existujúceho oceľového oplotenia: 14,00 m*0,005 t/m</t>
  </si>
  <si>
    <t>úsek "C" - odstránenie existujúceho oceľového oplotenia: 30,00 m*0,0079 t/m</t>
  </si>
  <si>
    <t>úsek "C" - odstránenie existujúcej oceľovej brány, v=1,50m, š=1,0m; 2 ks: 1,00 m*0,015 t/m</t>
  </si>
  <si>
    <t>úsek "D" - odstránenie existujúceho oceľového oplotenia: 100,00 m*0,02795 t/m</t>
  </si>
  <si>
    <t>úsek "A" - jama pre premiestnené betónové pätky reklamnej konštrukcie: 1,2*1,2*1,2*7</t>
  </si>
  <si>
    <t>úsek "A" - výkop pre nové betónové pätky oplotenia: 0,40*0,40*0,80*23</t>
  </si>
  <si>
    <t>úsek "A" - výkop pre nové betónové predpokladané medzipätky oplotenia: 0,40*0,50*0,60*6</t>
  </si>
  <si>
    <t>úsek "B" - výkop pre nové betónové pätky oplotenia: 0,40*0,40*0,80*8</t>
  </si>
  <si>
    <t>úsek "C" - výkop pre nové betónové pätky oplotenia: 0,40*0,40*0,80*16</t>
  </si>
  <si>
    <t>úsek "C" - výkop pre nové betónové predpokladané medzipätky oplotenia: 0,40*0,50*0,60*8</t>
  </si>
  <si>
    <t>úsek "D" - výkop pre nové betónové pätky oplotenia: 0,40*0,40*0,80*35</t>
  </si>
  <si>
    <t>úsek "D" - výkop pre nové betónové predpokladané medzipätky oplotenia: 0,40*0,50*0,60*11</t>
  </si>
  <si>
    <t>0103030208</t>
  </si>
  <si>
    <t>Hĺbené vykopávky šachiet nezapažených, tr. horniny 5-7</t>
  </si>
  <si>
    <t>ručný výkop!!!</t>
  </si>
  <si>
    <t>úsek "D" - výkop pre nové betónové pätky oplotenia: 0,40*0,40*1,50*5</t>
  </si>
  <si>
    <t>úsek "A" - zásyp vybúraných betónových pätiek existujúceho oplotenia: 0,50*0,50*0,80*14+0,50*0,50*1,00*(4+7)</t>
  </si>
  <si>
    <t>úsek "A" - zásyp okolo pätiek reklamnej konštrukcie: (1,45*1,45*0,2-0,5*0,5*0,2)*7</t>
  </si>
  <si>
    <t>úsek "B" - zásyp vybúraných betónových pätiek existujúceho oplotenia: 0,40*0,40*0,80*5</t>
  </si>
  <si>
    <t>úsek "C" - zásyp vybúraných betónových pätiek existujúceho oplotenia: 0,40*0,40*0,80*20</t>
  </si>
  <si>
    <t>úsek "D" - zásyp vybúraných betónových pätiek existujúceho oplotenia: 0,50*0,50*0,80*34</t>
  </si>
  <si>
    <t>úsek "B"</t>
  </si>
  <si>
    <t>monolitická základová pätka rozmerov 400x400x800 - betón C16/20
- nekonštrukčný - odolnosť voči zmrazovaniu a rozmrazovaniu 25 cyklov (T25)</t>
  </si>
  <si>
    <t>nové základové pätky nového oplotenia: 0,40*0,40*0,80*8</t>
  </si>
  <si>
    <t>úsek "C"</t>
  </si>
  <si>
    <t>nové základové pätky nového oplotenia: 0,40*0,40*0,80*16</t>
  </si>
  <si>
    <t>predpokladané medzipätky: 0,40*0,50*0,60*8</t>
  </si>
  <si>
    <t>úsek "D"</t>
  </si>
  <si>
    <t>nové základové pätky nového oplotenia: 0,40*0,40*0,80*35+0,40*0,40*1,50*5</t>
  </si>
  <si>
    <t>predpokladané medzipätky: 0,40*0,50*0,60*11</t>
  </si>
  <si>
    <t>1101030104</t>
  </si>
  <si>
    <t>Základy, dosky z betónu prostého, tr. C 16/20 (B 20)</t>
  </si>
  <si>
    <t>betónové plochy medzi budovami: 13,00 m2*0,15 m</t>
  </si>
  <si>
    <t>1109010205</t>
  </si>
  <si>
    <t>Schodiskové konštrukcie kompletné z betónu železového, tr. C 20/25 (B 25)</t>
  </si>
  <si>
    <t>úsek "C" - nové slabovystužené betónové schodiská: (0,33+0,41)m2*0,90 m</t>
  </si>
  <si>
    <t>úsek "C" - nové slabovystužené betónové schodiská: (0,33 m2*2)+(0,41 m2*2)+(0,17 m*0,90 m)*(4 ks+5 ks)</t>
  </si>
  <si>
    <t xml:space="preserve">úsek "C" - nové betónové schodiskákari sieť s okami 50x50x5: (0,80 * 1,30) m + (0,80 * 1,60) m = 2,32 m2 cca 5,40 kg/m2 </t>
  </si>
  <si>
    <t>úsek "A" - rúrkový stĺpik dĺžky 2400 mm priemeru 48 mm hrúbky 1.5 mm pozinkovaný s ochrannou krytkou priemeru 48 mm</t>
  </si>
  <si>
    <t>nové stĺpiky nového oplotenia</t>
  </si>
  <si>
    <t>predpokladané medzistĺpiky</t>
  </si>
  <si>
    <t>úsek "B" - štvorcový stĺpik výšky 2400 mm rozmeru 60x60 mm hrúbky 1.5 mm pozinkovaný poplastovaný zelenej farby s ochrannou krytkou - nové stĺpiky nového oplotenia</t>
  </si>
  <si>
    <t>úsek "C" - rúrkový stĺpik dĺžky 2400 – 2000 mm priemeru 48 mm hrúbky 1.5 mm pozinkovaný s ochrannou krytkou priemeru 48 mm</t>
  </si>
  <si>
    <t>úsek "D" - rúrkový stĺpik dĺžky 2400 mm priemeru 48 mm hrúbky 1.5 mm pozinkovaný s ochrannou krytkou priemeru 48 mm</t>
  </si>
  <si>
    <t>úsek "A" - drôtené pozinkované pletivo so štvorcovými okami 50x50x2.5 mm výška pletiva 1,70 m; L=58,00 m: 58,00*1,7</t>
  </si>
  <si>
    <t>úsek "C" - drôtené pozinkované pletivo so štvorcovými okami 50x50x2.5 mm výška pletiva premenlivá; L=27,40 m: (1,50*16,20)+(2,10*11,20)</t>
  </si>
  <si>
    <t>úsek "D" - drôtené pozinkované pletivo so štvorcovými okami 50x50x2.5 mm výška pletiva 1,70 m; L=103,00 m: 103,00*1,7</t>
  </si>
  <si>
    <t>úsek "B" - plotový panel 3d zvarované pletivo pozinkované poplastované zelenej farby s okami 50x200x4 mm výšky 1730 mm: 14,00*1,73</t>
  </si>
  <si>
    <t>úsek "C" - certifikovaná kupovaná jednokrídlová uzamykateľná  bránka šírky 1.30 m a výšky 1.50 m s bočnými stĺpikmi celopozinkovaná - bránka je univerzálna môže byť ľavá i pravá: 1,30*1,50*2</t>
  </si>
  <si>
    <t>Úprava oplotenia na ulici Pri Habánskom mlyne</t>
  </si>
  <si>
    <t>304 Úprava oplotenia Základná škola , Dubová 1</t>
  </si>
  <si>
    <t>búranie pôvodného múrika: 6,24*1,45*0,28</t>
  </si>
  <si>
    <t>odstránenie pôvodného oceľového oplotenia</t>
  </si>
  <si>
    <t>búranie pôvodného múrika: 2,53 m3*2,2 t/m3</t>
  </si>
  <si>
    <t>odstránenie pôvodného oceľového oplotenia: 6,12 m*0,04 t/m</t>
  </si>
  <si>
    <t>stavebná jama pre múrik: ((2,46 m + 1,98 m) * 1,22 m2) + 1,80 m * 0,59 m2</t>
  </si>
  <si>
    <t>zásyp: 6,48 m3 – (0,40 m * 0,60 m * 1,80 m) – (0,05 m * 0,70 m * 1,80 m)</t>
  </si>
  <si>
    <t>pružná vložka: 1,45*2*0,245</t>
  </si>
  <si>
    <t>2125042404</t>
  </si>
  <si>
    <t>Doplňujúce konštrukcie, dilatačné zariadenia, tesnenie dilatačných škár asfaltovým pásikom</t>
  </si>
  <si>
    <t>natavovaný izolačný modifikovaný pás š=250 mm, okraje rozšpachtľovať alebo zapraviť izolačnou stierkou: 1,45*2</t>
  </si>
  <si>
    <t>tesniaci trvalo pružný silikónový tmel 15x20 mm (odolný proti UV žiareniu, farba šedá): 1,45*2</t>
  </si>
  <si>
    <t>1xPN+2xAN - vykázaná jedna plocha náteru</t>
  </si>
  <si>
    <t xml:space="preserve">(2,46 m + 1,98 m) * 0,16 m * 2 ks </t>
  </si>
  <si>
    <t>(1,2+0,5)*6,24+0,4*0,2*(2,46+1,98)+0,4*0,6*2+1,45*0,28*2</t>
  </si>
  <si>
    <t xml:space="preserve">základ múrika: (2,46 m + 1,98 m) * 0,40 m * 0,60 m </t>
  </si>
  <si>
    <t>stena múrika: 6,20 m * 0,28 m * 1,45 m</t>
  </si>
  <si>
    <t>debnenie: 1,45*6,24*2+0,4*2*(2,46+1,98)+0,6*0,4*2</t>
  </si>
  <si>
    <t xml:space="preserve">395,00 kg/1000 </t>
  </si>
  <si>
    <t xml:space="preserve">podkladný betón: ((2,46 m + 1,98 m) * 0,70 m) * 0,05 m </t>
  </si>
  <si>
    <t>67110300</t>
  </si>
  <si>
    <t>Oplotenie  z profilovej ocele</t>
  </si>
  <si>
    <t>oceľové oplotenie z uzavretých profilov: (1,6+0,4)*2,0*3</t>
  </si>
  <si>
    <t>304</t>
  </si>
  <si>
    <t>Úprava oplotenia Základná škola , Dubová 1</t>
  </si>
  <si>
    <t>305  Multikanál pre zabezpečenie rozvodov optiky</t>
  </si>
  <si>
    <t>jamy pre šachty POLYVAULT 2448</t>
  </si>
  <si>
    <t>jamy pre šachty POLYVAULT 3648</t>
  </si>
  <si>
    <t xml:space="preserve">jama pre šachtu FORTRESS </t>
  </si>
  <si>
    <t>výkop ryhy v zeleni 310m</t>
  </si>
  <si>
    <t>výkop ryhy v chodníku 2220m+5,5m</t>
  </si>
  <si>
    <t>výkop ryhy v ceste 90m</t>
  </si>
  <si>
    <t>spätný zásyp multikanálu a šachiet</t>
  </si>
  <si>
    <t>výstažná fólia: 2620m</t>
  </si>
  <si>
    <t>spätný zásyp (tam a späť) - odvoz a dovoz z medziskládky</t>
  </si>
  <si>
    <t>naloženie zeminy z medziskládky pre spätný zásyp</t>
  </si>
  <si>
    <t>zriadenie/odstránenie paženia jám a rýh: 2*(34*(2*1,3)+4*(2*1,6)+6*(2*1,3)+13*(2*1,6)+(1,6+1)*1,8+90*1,4)</t>
  </si>
  <si>
    <t>riadené mikrotunelovanie ch.4xDN125</t>
  </si>
  <si>
    <t xml:space="preserve">multikanál SITEL 9W-42 9-otvorový </t>
  </si>
  <si>
    <t xml:space="preserve">multikanál SITEL 6W-42 6-otvorový </t>
  </si>
  <si>
    <t>chránička korugovaná DN50  36m</t>
  </si>
  <si>
    <t>mikrotrubička DB 12/8  12m</t>
  </si>
  <si>
    <t>22251784</t>
  </si>
  <si>
    <t>Doplňujúce konštrukcie, kábelové komory plastové</t>
  </si>
  <si>
    <t>2225178402</t>
  </si>
  <si>
    <t>Doplňujúce konštrukcie,  kábelové komory plastové, plocha nad 1 do 1,5 m2</t>
  </si>
  <si>
    <t>šachta POLYVAULT 2448, hĺ. 1060, 34ks, kompozitový uzamykateľný poklop</t>
  </si>
  <si>
    <t>šachta POLYVAULT 2448, hĺ. 1420, 4ks, kompozitový uzamykateľný poklop</t>
  </si>
  <si>
    <t>šachta FORTRESS 1020x1020x1500mm, 1ks, liatinový uzamykateľný poklop</t>
  </si>
  <si>
    <t>2225178403</t>
  </si>
  <si>
    <t>Doplňujúce konštrukcie,  kábelové komory plastové, plocha nad 1,5 do 2 m2</t>
  </si>
  <si>
    <t>šachta POLYVAULT 3648, hĺ. 1060, 6ks, kompozitový uzamykateľný poklop</t>
  </si>
  <si>
    <t>šachta POLYVAULT 3648, hĺ. 1420, 13ks, kompozitový uzamykateľný poklop</t>
  </si>
  <si>
    <t xml:space="preserve">podkladový betón hr.100mm pre šachty POLYVAULT </t>
  </si>
  <si>
    <t>čiastočný obsyp šachiet betónom</t>
  </si>
  <si>
    <t xml:space="preserve">podkladový betón hr.150mm pre šachtu FORTRESS </t>
  </si>
  <si>
    <t>čiastočný obsyp šachty betónom</t>
  </si>
  <si>
    <t>Multikanál pre zabezpečenie rozvodov optiky</t>
  </si>
  <si>
    <t>306 Úprava oplotenia súkromných vlastníkov Valašská ulica</t>
  </si>
  <si>
    <t>úsek "A" - búranie pôvodného múrika: 5,50*2,00*0,25</t>
  </si>
  <si>
    <t xml:space="preserve">úsek "B" - búranie pôvodného múrika z betónových tvárnic: ((0,92+0,6)*7,6+1,55*0,44*3)*0,34 </t>
  </si>
  <si>
    <t>úsek "C" - búranie pôvodného múrika: 7,00*0,85*0,24</t>
  </si>
  <si>
    <t>úsek "D" - búranie betónových pätiek existujúceho oplotenia: 0,25*0,25*0,75*10</t>
  </si>
  <si>
    <t>úsek "A" - odstránenie pôvodného oceľového oplotenia s bránkou</t>
  </si>
  <si>
    <t>úsek "B" - odstránenie pôvodných základných modulov okrasného oplotenia:1,50*4</t>
  </si>
  <si>
    <t>úsek "C" - odstránenie pôvodného oceľového oplotenia s bránkou</t>
  </si>
  <si>
    <t>úsek "D" - odstránenie pôvodného oceľového oplotenia</t>
  </si>
  <si>
    <t>úsek "A" - búranie pôvodného múrika: 2,75 m3*2,2 t/m3</t>
  </si>
  <si>
    <t>úsek "B" - búranie pôvodného múrika z betónových tvárnic: 4,62 m3*2,2 t/m3</t>
  </si>
  <si>
    <t>úsek "C" - búranie pôvodného múrika: 5,71 m3*2,2 t/m3</t>
  </si>
  <si>
    <t>úsek "D" - búranie betónových pätiek existujúceho oplotenia: 0,47 m3*2,2 t/m3</t>
  </si>
  <si>
    <t>úsek "A" - odstránenie pôvodného oceľového oplotenia s bránkou: 19,00 m*0,03t/m</t>
  </si>
  <si>
    <t>úsek "B" - odstránenie pôvodných základných modulov okrasného oplotenia:6,00 m*0,045 t/m</t>
  </si>
  <si>
    <t>úsek "C" - odstránenie pôvodného oceľového oplotenia s bránkou: 7,00 m*0,06 t/m</t>
  </si>
  <si>
    <t>odstránenie pôvodného oceľového oplotenia: 24,00* m*0,0143 t/m</t>
  </si>
  <si>
    <t>úsek "D" - výkop pre nové pätky oplotenia: 0,40*0,40*0,80*9</t>
  </si>
  <si>
    <t>úsek "D" - zásyp vybúraných existujúcich pätiek pôvodného oplotenia: 0,25*0,25*0,75*10</t>
  </si>
  <si>
    <t>15020702</t>
  </si>
  <si>
    <t>Múry ohradné, tvárnice betónové</t>
  </si>
  <si>
    <t xml:space="preserve">úsek "B" - nový múrik z betónových tvárnic komplet zhotovenie vrátane výstuže, výplne z betónu a krycích platní: ((0,92+0,6)*7,6+1,55*0,44*3)*0,34 </t>
  </si>
  <si>
    <t>monolitická základová pätka rozmerov 400x400x800 - betón C16/20: 0,40*0,40*0,80*9</t>
  </si>
  <si>
    <t>úsek "A" - nový betónový múrik: 5,50*2,00*0,25</t>
  </si>
  <si>
    <t>úsek "C" - nový betónový múrik: 7,00*0,80*0,24</t>
  </si>
  <si>
    <t>úsek "A"- debnenie nového betónového múrika: 5,50*2,00*2+2,00*0,25*2</t>
  </si>
  <si>
    <t>úsek "C"- debnenie nového betónového múrika: 7,00*0,80*2+0,80*0,24*1</t>
  </si>
  <si>
    <t>úsek "A" - nový betónový múrik - 100 kg/m3: 0,10*2,75</t>
  </si>
  <si>
    <t>úsek "C" - nový betónový múrik - 100 kg/m3: 0,10*1,34</t>
  </si>
  <si>
    <t>67110200</t>
  </si>
  <si>
    <t>Oplotenie  rámové</t>
  </si>
  <si>
    <t>úsek "A" - nové oplotenie: 1,26*19,00</t>
  </si>
  <si>
    <t>úsek "B" - nové oplotenie - základné moduly okrasného oplotenia: 1,50*1,50*4</t>
  </si>
  <si>
    <t>úsek "C" - nové oplotenie: 1,30*4,00</t>
  </si>
  <si>
    <t>úsek "D" - plotový panel 3d zvarované pletivo pozinkované poplastované zelenej farby s okami 50x200x4 mm výšky 1730 mm: 24,00*1,73</t>
  </si>
  <si>
    <t>úsek "A" - nová certifikovaná kupovaná jednokrídlová uzamykateľná bránka s bočnými stĺpikmi: 1,30*2,00*1</t>
  </si>
  <si>
    <t>úsek "C" - nová bránička s vjazdom pre vozidlá: 3,00*1,80*1</t>
  </si>
  <si>
    <t>Úprava oplotenia súkromných vlastníkov Valašská ulica</t>
  </si>
  <si>
    <t>501 Dažďová kanalizácia, odvodnenie zastávky ZOO, smer Habánsky Mlyn</t>
  </si>
  <si>
    <t>0502034201</t>
  </si>
  <si>
    <t>Vybúranie konštrukcií a demontáže, inštalačného vedenia a príslušenstva kanalizačného z kameninových rúr</t>
  </si>
  <si>
    <t>demontáž exist. potrubia prípojky profilu DN200 z kameninových rúr
-(zemné práce budú realizované v rámci montáže prípojky)</t>
  </si>
  <si>
    <t>demontáž exist. potrubia prípojky profilu DN200 z kameninových rúr: 3,00 m*0,035 t/m</t>
  </si>
  <si>
    <t>výkop jamy pre UV (- konštrukcia komunikácie 50 cm):  (1,5*1,5*1,98)-(1,5*1,5*0,5)</t>
  </si>
  <si>
    <t>výkop ryhy pre potrubie kanalizácie (- konštrukcia komunikácie 50 cm): (1,65*1,0*3,5)-(0,50*1,0*3,5)</t>
  </si>
  <si>
    <t>uloženie prebytočnej zeminy na spoplatnenú skládku</t>
  </si>
  <si>
    <t>zásyp zeminou ryhy</t>
  </si>
  <si>
    <t>objem potrubia: -(0,11*0,11*3,14*3,5)</t>
  </si>
  <si>
    <t>zásyp zeminou jamy pre UV:</t>
  </si>
  <si>
    <t>objem UV: -(0,3*0,3*3,14*1,88)</t>
  </si>
  <si>
    <t xml:space="preserve">obsyp potrubia: (0,52*1,0*3,5)-(0,11*0,11*3,14*3,5) </t>
  </si>
  <si>
    <t>paženie ryhy príložné: (1,15*3,5)*2</t>
  </si>
  <si>
    <t>paženie jamy príložné: (1,5+1,5)*2*1,48</t>
  </si>
  <si>
    <t>betónový podklad pod UV: 0,8*0,8*0,1*1</t>
  </si>
  <si>
    <t>debnenie pre betónový podklad pod UV: (0,8+0,8)*2*0,1*1</t>
  </si>
  <si>
    <t>potrubie z plastových rúr (PVC) DN200, kruhovej tuhosti SN16</t>
  </si>
  <si>
    <t>27030424</t>
  </si>
  <si>
    <t>Kanalizácie, rúry plastové, tvarovky z PVC</t>
  </si>
  <si>
    <t>2703042404</t>
  </si>
  <si>
    <t>Kanalizácie, rúry plastové, tvarovky z PVC DN 200</t>
  </si>
  <si>
    <t>prechodová tvarovka PVC/KAM DN200</t>
  </si>
  <si>
    <t>PVC koleno DN200/15°</t>
  </si>
  <si>
    <t>uličný vpust z prefabrikovaných bet. dielcov, s kalovým dnom, s kalovým košom</t>
  </si>
  <si>
    <t>vtoková rovná mreža s rámom tr. D400 s pántom a zámkom z tvárnej liatiny</t>
  </si>
  <si>
    <t>pieskové lôžko pod potrubie: 1,0*0,15*3,5</t>
  </si>
  <si>
    <t>Dažďová kanalizácia, odvodnenie zastávky ZOO, smer Habánsky Mlyn</t>
  </si>
  <si>
    <t>502 Odvodnenie ulíc pri Habánskom mlyne</t>
  </si>
  <si>
    <t>demontáž exist. uličných vpustov
-(zemné práce budú realizované v rámci montáže prípojky)</t>
  </si>
  <si>
    <t>demontáž mreže s rámom z existujúcich uličných vpustov</t>
  </si>
  <si>
    <t>demontáž exist. potrubia prípojky profilu DN200 z kameninových rúr: 4,00 m*0,035 t/m</t>
  </si>
  <si>
    <t>demontáž exist. uličných vpustov: 5 ks*0,250 t/ks</t>
  </si>
  <si>
    <t>demontáž mreže s rámom z existujúcich uličných vpustov: 5 ks*0,125 t/ks</t>
  </si>
  <si>
    <t>výkop jamy pre kanalizačnú šachtu KŠ1   (- konštrukcia komunikácie 55 cm): (2,5*2,5*1,48)-(1,25*1,0*1,48)</t>
  </si>
  <si>
    <t>výkop ryhy pre potrubie kanalizácie  (- konštrukcia komunikácie 55 cm): (2,2*1,0*60)-(0,55*1,0*60)</t>
  </si>
  <si>
    <t>rozšírený výkop pre uličné vpusty    (- konštrukcia komunikácie 55 cm): (1,5*1,5*1,98)*13-(1,5*1,5*0,55)*13</t>
  </si>
  <si>
    <t>objem potrubia: -(0,11*0,11*3,14*60)</t>
  </si>
  <si>
    <t>zásyp zeminou rozšírenia pre UV:</t>
  </si>
  <si>
    <t>objem UV: -(0,3*0,3*3,14*1,98)*13</t>
  </si>
  <si>
    <t>zásyp zeminou jamy pre KŠ:</t>
  </si>
  <si>
    <t>objem KŠ: -(0,6*0,6*3,14*1,48)</t>
  </si>
  <si>
    <t>obsyp potrubia: (0,52*1,0*60)-(0,11*0,11*3,14*60)</t>
  </si>
  <si>
    <t>paženie ryhy príložné: (2,2-0,55)*60*2</t>
  </si>
  <si>
    <t>paženie jamy príložné: (1,5+1,5)*2*1,48*13+(2,5+2,5)*2*1,48*1</t>
  </si>
  <si>
    <t>betónový podklad pod UV: 0,8*0,8*0,1*13</t>
  </si>
  <si>
    <t>betónový podklad pod KŠ: 1,5*1,5*0,1*1</t>
  </si>
  <si>
    <t>debnenie pre betónový podklad pod UV: (0,8+0,8)*2*0,1*13</t>
  </si>
  <si>
    <t>debnenie pre betónový podklad pod KŠ: (1,5+1,5)*2*0,1*1</t>
  </si>
  <si>
    <t>potrubie z plastových rúr (PVC) DN200, kruhovej tuhosti SN12</t>
  </si>
  <si>
    <t>PVC koleno DN200/45°</t>
  </si>
  <si>
    <t>27030854</t>
  </si>
  <si>
    <t>Kanalizácie, rúry kameninové, útesy</t>
  </si>
  <si>
    <t>2703085409</t>
  </si>
  <si>
    <t>Kanalizácie, rúry kameninové, útesy DN 500</t>
  </si>
  <si>
    <t>napojenie prípojky útesom (výrezom) do exist. kanalizačného zberača DN1000/750</t>
  </si>
  <si>
    <t>napojenie prípojky útesom (výrezom) do exist. kanalizačnej šachty</t>
  </si>
  <si>
    <t>kanalizačná šachta prefabrikovaná z betónových dielcov (komplet) priemeru 1000 mm s kynetou</t>
  </si>
  <si>
    <t>poklop pre kanalizačnú šachtu kompozit/BEGU priemeru ø 600mm tr. zaťaženia D400</t>
  </si>
  <si>
    <t>pieskové lôžko pod potrubie: 1,0*0,15*60</t>
  </si>
  <si>
    <t>Odvodnenie ulíc pri Habánskom mlyne</t>
  </si>
  <si>
    <t>510  Ochrana vodovodu DN150 v ul. Mlynská dolina pri ZOO</t>
  </si>
  <si>
    <t>výkop ryhy pre osadenie chráničky na exist. vodovod DN150 pri ZOO    (š*dĺ*v)
- predpokladaná výmena potrubia v 16-tich úsekoch: (1,0*4,0*1,5)*16</t>
  </si>
  <si>
    <t>výkop ryhy pre osadenie chráničky na exist. vodovod DN100 vo Valašskej ul.  (š*dĺ*v)
- predpokladaná jedna výmena potrubia: (1,0*5,0*1,5)*3</t>
  </si>
  <si>
    <t>výkop ryhy pre osadenie chráničky na exist. vodovod DN200 pri ZOO      (š*dĺ*v)
- predpokladaná výmena potrubia v 11-tich úsekoch: (1,0*4,0*1,5)*11</t>
  </si>
  <si>
    <t>zásyp zeminou ryhy pre osadenie chráničky na exist. vodovod DN150 pri ZOO</t>
  </si>
  <si>
    <t>objem potrubia: -(0,08*0,08*3,14*4,0)*16</t>
  </si>
  <si>
    <t>zásyp zeminou ryhy pre osadenie chráničky na exist. vodovod DN100 vo Valašskej ul.</t>
  </si>
  <si>
    <t>objem potrubia: -(0,05*0,05*3,14*5,0)*3,0</t>
  </si>
  <si>
    <t>zásyp zeminou ryhy pre osadenie chráničky na exist. vodovod DN200 pri ZOO</t>
  </si>
  <si>
    <t>objem potrubia: -(0,1*0,1*3,14*4,0)*11</t>
  </si>
  <si>
    <t>obsyp pre osadenie chráničky na exist. vodovod DN150 pri ZOO: (1,0*0,45*4,0)*16-(0,08*0,08*3,14*4,0)*16</t>
  </si>
  <si>
    <t>obsyp pre osadenie chráničky na exist. vodovod DN100 vo Valašskej ul.: (1,0*0,4*5,0)*3,0-(0,05*0,05*3,14*5,0)*3,0</t>
  </si>
  <si>
    <t>obsyp pre osadenie chráničky na exist. vodovod DN200 pri ZOO: (1,0*0,5*4,0)*11-(0,1*0,1*3,14*4,0)*11</t>
  </si>
  <si>
    <t>paženie ryhy príložné: (1,5*5,0*2)+(1,5*4,0*2)*30</t>
  </si>
  <si>
    <t>2702053102</t>
  </si>
  <si>
    <t>Vodovody, rúry liatinové, tlakové hrdlové DN 100 mm</t>
  </si>
  <si>
    <t>potrubie z tlakových rúr tvárnej liatiny hrdlovaných, profilu DN100: 3*5,00</t>
  </si>
  <si>
    <t>2702053103</t>
  </si>
  <si>
    <t>Vodovody, rúry liatinové, tlakové hrdlové DN 150 mm</t>
  </si>
  <si>
    <t>potrubie z tlakových rúr tvárnej liatiny hrdlovaných, profilu DN150 - predpoklad: 7*5,00</t>
  </si>
  <si>
    <t>2702053104</t>
  </si>
  <si>
    <t>Vodovody, rúry liatinové, tlakové hrdlové DN 200 mm</t>
  </si>
  <si>
    <t>potrubie z tlakových rúr tvárnej liatiny hrdlovaných, profilu DN200 - predpoklad: 20*5,00</t>
  </si>
  <si>
    <t>pozn.: v prípade výmeny potrubia bude potrená odstávka vodovodu t.j. vypustenie a napustenie potrubnej časti vodou - predpokladané 3 úseky vodovodu - 3 ks</t>
  </si>
  <si>
    <t>pozn.: prepojovacie práce potrubia na liatinových rúrach do DN200 - 60 ks</t>
  </si>
  <si>
    <t>pieskové lôžko pre osadenie chráničky na exist. vodovod DN150 pri ZOO: (1,0*0,15*4,0)*16</t>
  </si>
  <si>
    <t>pieskové lôžko pre osadenie chráničky na exist. vodovod DN100 vo Valašskej ul.: (1,0*0,15*5,0)*3</t>
  </si>
  <si>
    <t>pieskové lôžko pre osadenie chráničky na exist. vodovod DN200 pri ZOO: (1,0*0,15*4,0)*11</t>
  </si>
  <si>
    <t>510</t>
  </si>
  <si>
    <t>Ochrana vodovodu DN150 v ul. Mlynská dolina pri ZOO</t>
  </si>
  <si>
    <t>601 Trolejbusové vedenie</t>
  </si>
  <si>
    <t>základy trakčných stožiarov (10ks)</t>
  </si>
  <si>
    <t>trakčný stožiar vrátane príslušenstva</t>
  </si>
  <si>
    <t>trakčné stožiare 10*0,84t</t>
  </si>
  <si>
    <t>výkop jamy pre trakčný stožiar</t>
  </si>
  <si>
    <t>poznámka: odstránenie chodníka aj s podkladom, búranie vozovky a odhumusovanie  je riešené v cestárskych objektoch vrátane nového zriadenia chodníka/cesty/zatrávnenia</t>
  </si>
  <si>
    <t>spätný zásyp pri atypických základoch prírubových stožiarov</t>
  </si>
  <si>
    <t>Trakčné vedenia - električky, závesy troleja</t>
  </si>
  <si>
    <t>Trakčné vedenia - električky, závesy troleja na lano, alebo drôt</t>
  </si>
  <si>
    <t>zostava závesu do roviny na lano - Delta záves</t>
  </si>
  <si>
    <t xml:space="preserve">zostava závesu do oblúka na lano </t>
  </si>
  <si>
    <t>91030201</t>
  </si>
  <si>
    <t>Trakčné vedenia - trolejbusy, stožiare jednoduché</t>
  </si>
  <si>
    <t>9103020102</t>
  </si>
  <si>
    <t>Trakčné vedenia - trolejbusy, stožiare jednoduché oceľové, rúrové, pozinkované</t>
  </si>
  <si>
    <t>TSR-6,5-12</t>
  </si>
  <si>
    <t>TSR-6,5-20</t>
  </si>
  <si>
    <t>TSR-8,5-12</t>
  </si>
  <si>
    <t>TSR-8,5-12P</t>
  </si>
  <si>
    <t>TSRK-8,5-12</t>
  </si>
  <si>
    <t>TSRK-8,5-12P</t>
  </si>
  <si>
    <t>TSR-8,5-20</t>
  </si>
  <si>
    <t>TSRK-8,5-20</t>
  </si>
  <si>
    <t>TSRK-8,5-20P</t>
  </si>
  <si>
    <t>TSR-8,5-25</t>
  </si>
  <si>
    <t>TSRK-8,5-25</t>
  </si>
  <si>
    <t>TSRK-8,5-25P</t>
  </si>
  <si>
    <t>TSRK-8,5-8M (atyp s kotvením do oporného múru)</t>
  </si>
  <si>
    <t>TSRK-8,5-8</t>
  </si>
  <si>
    <t>(Poznámka: trakčné stožiare budú v povrchovej úprave  natretý žiarový pozink (RAL- 7016))</t>
  </si>
  <si>
    <t>Trakčné vedenia - trolejbusy, trolej</t>
  </si>
  <si>
    <t>Trakčné vedenia - trolejbusy, trolej drôty profilové Cu</t>
  </si>
  <si>
    <r>
      <t>trolejový drôt Cu150mm</t>
    </r>
    <r>
      <rPr>
        <vertAlign val="superscript"/>
        <sz val="10"/>
        <rFont val="Arial CE"/>
        <family val="2"/>
        <charset val="238"/>
      </rPr>
      <t>2</t>
    </r>
  </si>
  <si>
    <t>Trakčné vedenia - trolejbusy, laná</t>
  </si>
  <si>
    <t>Trakčné vedenia - trolejbusy, laná FeZn</t>
  </si>
  <si>
    <r>
      <t>lano FeZn 50mm</t>
    </r>
    <r>
      <rPr>
        <vertAlign val="superscript"/>
        <sz val="10"/>
        <rFont val="Arial CE"/>
        <family val="2"/>
        <charset val="238"/>
      </rPr>
      <t>2</t>
    </r>
  </si>
  <si>
    <t>Trakčné vedenia - trolejbusy, závesy kotvové</t>
  </si>
  <si>
    <t>Trakčné vedenia - trolejbusy, závesy kotvové na stenu</t>
  </si>
  <si>
    <t>kotvenie prevesu v strope diaľničného podchodu</t>
  </si>
  <si>
    <t>Trakčné vedenia - trolejbusy, kotvenia trolejí Cu</t>
  </si>
  <si>
    <t>Trakčné vedenia - trolejbusy, kotvenia trolejí Cu s pružinami</t>
  </si>
  <si>
    <t>Trakčné vedenia - trolejbusy, závesy troleja</t>
  </si>
  <si>
    <t>Trakčné vedenia - trolejbusy, závesy troleja na lano, alebo drôt</t>
  </si>
  <si>
    <t>zostava závesu do roviny na lano</t>
  </si>
  <si>
    <t>zostava závesu do oblúka 2-3°na lano</t>
  </si>
  <si>
    <t>zostava závesu do oblúka 4-5°na lano</t>
  </si>
  <si>
    <t>zostava závesu do oblúka 5-7°na lano</t>
  </si>
  <si>
    <t>zostava závesu do oblúka 7-10°na lano</t>
  </si>
  <si>
    <t>zostava závesu do oblúka 10-13°na lano</t>
  </si>
  <si>
    <t>zostava závesu do oblúka 13-30°na lano</t>
  </si>
  <si>
    <t>zostava úsekového deliča na lano</t>
  </si>
  <si>
    <t>zostava úsekového deliča na výložník</t>
  </si>
  <si>
    <t>Trakčné vedenia - trolejbusy, závesy troleja na rameno</t>
  </si>
  <si>
    <t>zostava závesu do roviny na výložník- Delta záves</t>
  </si>
  <si>
    <t>zostava závesu do oblúka 2-3°na na výložník</t>
  </si>
  <si>
    <t>zostava závesu do oblúka 4-5°na na výložník</t>
  </si>
  <si>
    <t>zostava závesu do oblúka 5-7°na na výložník</t>
  </si>
  <si>
    <t>zostava závesu do oblúka 7-10°na na výložník</t>
  </si>
  <si>
    <t>zostava závesu do oblúka 10-13°na na výložník</t>
  </si>
  <si>
    <t>zostava závesu do oblúka 13-30°na na výložník</t>
  </si>
  <si>
    <t>Trakčné vedenia - trolejbusy, závesy troleja na stožiar</t>
  </si>
  <si>
    <t>zostava S1</t>
  </si>
  <si>
    <t>zostava S13</t>
  </si>
  <si>
    <t>objímka na stožiar</t>
  </si>
  <si>
    <t>Trakčné vedenia - trolejbusy, odťahy lán</t>
  </si>
  <si>
    <t>Trakčné vedenia - trolejbusy, odťahy lán na lano</t>
  </si>
  <si>
    <t>trojsmerná spojka</t>
  </si>
  <si>
    <t>Trakčné vedenia - trolejbusy, odťahy troleja</t>
  </si>
  <si>
    <t>Trakčné vedenia - trolejbusy, odťahy troleja na lano</t>
  </si>
  <si>
    <t>zostava odťah do oblúka 7-10°na lano</t>
  </si>
  <si>
    <t>zostava odťah do oblúka 10-13°na lano</t>
  </si>
  <si>
    <t>zostava odťah do oblúka 15-30°na lano</t>
  </si>
  <si>
    <t>Trakčné vedenia - trolejbusy, závesy lán</t>
  </si>
  <si>
    <t>Trakčné vedenia - trolejbusy, závesy lán na lano, alebo drôt</t>
  </si>
  <si>
    <t>zostava križovania trolejbus - trolejbus (XTT 55° - 90°)</t>
  </si>
  <si>
    <t>zostava križovania trolejbus - trolejbus (XTT 20°)</t>
  </si>
  <si>
    <t>zostava križovania trolejbus - trolejbus (XTT 30° - 50°)</t>
  </si>
  <si>
    <t>zostava križovania trolejbus - električka (XTE 43°-65°P)</t>
  </si>
  <si>
    <t>zostava el. rozjazdovej výhybky, symetrickej EV S10°</t>
  </si>
  <si>
    <t>zostava zjazdnej mechanickej výhybky, symetrickej ZV S10°</t>
  </si>
  <si>
    <t>Trakčné vedenia - trolejbusy, spojky trolejové zjazdné</t>
  </si>
  <si>
    <t>Trakčné vedenia - trolejbusy, spojky trolejové zjazdné pre trolej Cu</t>
  </si>
  <si>
    <t>Trakčné vedenia - trolejbusy, prúdové prepojenia trolejí</t>
  </si>
  <si>
    <t>Trakčné vedenia - trolejbusy, prúdové prepojenia trolejí lanami Cu</t>
  </si>
  <si>
    <t>Trakčné vedenia - trolejbusy, napájanie troleja</t>
  </si>
  <si>
    <t>Trakčné vedenia - trolejbusy, napájanie troleja lanami Cu</t>
  </si>
  <si>
    <t>zostava kábelového prepojenia trolej - odpojovač na lano</t>
  </si>
  <si>
    <t>zostava kábelového prepojenia trolej - odpojovač na výložník</t>
  </si>
  <si>
    <t>Trakčné vedenia - trolejbusy, ramená</t>
  </si>
  <si>
    <t>Trakčné vedenia - trolejbusy, ramená izolované</t>
  </si>
  <si>
    <t>zostava výložníka, sklolaminát 55mm, L = 5m</t>
  </si>
  <si>
    <t>zostava výložníka, sklolaminát 55mm, L = 6m</t>
  </si>
  <si>
    <t>zostava výložníka, sklolaminát 55mm, L = 7m</t>
  </si>
  <si>
    <t>zostava výložníka, sklolaminát 55mm, L = 7,5m</t>
  </si>
  <si>
    <t>zostava výložníka, sklolaminát 55mm, L = 8m</t>
  </si>
  <si>
    <t>zostava výložníka, sklolaminát 55mm, L = 8,5m</t>
  </si>
  <si>
    <t>zostava výložníka, sklolaminát 55mm, L = 9m</t>
  </si>
  <si>
    <t>zostava výložníka, sklolaminát 55mm, L = 10m</t>
  </si>
  <si>
    <t>zostava výložníka, sklolaminát 55mm, L = 11m</t>
  </si>
  <si>
    <t>Trakčné vedenia - trolejbusy, bleskoistky</t>
  </si>
  <si>
    <t>Trakčné vedenia - trolejbusy, bleskoistky rôžkové</t>
  </si>
  <si>
    <t>bleskoistka napájača vrátane uzemnenenia</t>
  </si>
  <si>
    <t>Trakčné vedenia - trolejbusy, odpojovače</t>
  </si>
  <si>
    <t>Trakčné vedenia - trolejbusy, odpojovače na stožiare</t>
  </si>
  <si>
    <t>zostava odpojovača s ručným pohonom na trakčný stožiar pre úsekový delič</t>
  </si>
  <si>
    <t xml:space="preserve">zostava odpojovača s ručným pohonom na trakčný stožiar pre napájač </t>
  </si>
  <si>
    <t>Trakčné vedenia-električky, základový rošt pre prírubový stožiar, ZRT-42-400</t>
  </si>
  <si>
    <t>základový rošt ZRT-42-400</t>
  </si>
  <si>
    <t>Trakčné vedenia-električky, základový rošt pre prírubový stožiar, ZRT-30-420-8</t>
  </si>
  <si>
    <t>základový rošt ZRT-30-420-8</t>
  </si>
  <si>
    <t>Trakčné vedenia-električky, základový rošt pre prírubový stožiar, ZRT-36-420-8</t>
  </si>
  <si>
    <t>základový rošt ZRT-36-420-8</t>
  </si>
  <si>
    <t>Trakčné vedenia-električky, základový rošt pre prírubový stožiar, oceľová konštrukcia pod základový rošt</t>
  </si>
  <si>
    <t>oceľová konštrukcia do základu</t>
  </si>
  <si>
    <t xml:space="preserve">vystavenie revíznej správy UTZ - Úradná skúška   </t>
  </si>
  <si>
    <t>dynamické meranie parametrov TV trolejbusov (meracím vozom)- jazdné skúšky</t>
  </si>
  <si>
    <t>1101030105</t>
  </si>
  <si>
    <t>Základy, dosky z betónu prostého, tr. C 20/25 (B 25)</t>
  </si>
  <si>
    <t>betón na základ pre trakčný stožiar (podľa stavebnej tabuľky)</t>
  </si>
  <si>
    <t>11010313</t>
  </si>
  <si>
    <t>Základy, dosky, debnenie zabudované</t>
  </si>
  <si>
    <t>1101031302</t>
  </si>
  <si>
    <t>Základy, dosky, debnenie zabudované oceľové</t>
  </si>
  <si>
    <r>
      <t>debnenie DN500 (173ks*2,4m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)</t>
    </r>
  </si>
  <si>
    <t>montážna plošina (1360Nh)</t>
  </si>
  <si>
    <t>žeriav (204Nh)</t>
  </si>
  <si>
    <t>601</t>
  </si>
  <si>
    <t>Trolejbusové vedenie</t>
  </si>
  <si>
    <t>602 Napájacie vedenie (z meniarne Karlova Ves)</t>
  </si>
  <si>
    <t>štartovacia a cieľova jama (2,5*2*1,5)*12</t>
  </si>
  <si>
    <t>výkop jamy pre traťový rozvádzač (3,6*1*1)*3</t>
  </si>
  <si>
    <t>výkop ryhy: (0,35*1,2*783) - vypočet: 0,35*(1,2-0,31)*783</t>
  </si>
  <si>
    <t>výkop ryhy: (0,35*1,3*834) - vypočet: 0,35*(1,3-0,31)*834</t>
  </si>
  <si>
    <t>výkop ryhy: (0,4*1,3*805) - vypočet: 0,4*(1,3-0,31)*805</t>
  </si>
  <si>
    <t>poznámka: odstránenie chodníka aj s podkladom (0,31m), búranie vozovky (0,55m) a odhumusovanie (0,15m)  je riešené v cestárskych objektoch vrátane nového zriadenia chodníka/cesty/zatrávnenia</t>
  </si>
  <si>
    <t>výkop ryhy: (0,65*1,3*358) - vypočet: 0,65*(1,3-0,31)*358</t>
  </si>
  <si>
    <t>výkop ryhy: (1,05*1,42*22) - vypočet: 1,05*(1,42-0,55)*22</t>
  </si>
  <si>
    <t>uloženie prebytku na spoplatnenej skládke</t>
  </si>
  <si>
    <t>spätný zásyp: (0,35*1,2*783) - vyp.: 0,35*(1,2-0,25-0,31)*783</t>
  </si>
  <si>
    <t>spätný zásyp: (0,35*1,3*834) - vyp.: 0,35*(1,3-0,25-0,31)*834</t>
  </si>
  <si>
    <t>spätný zásyp: (0,4*1,3*805) - vyp.: 0,4*(1,3-0,25-0,31)*805</t>
  </si>
  <si>
    <t>spätný zásyp: (0,65*1,3*358) - vyp.: 0,65*(1,3-0,25-0,31)*358</t>
  </si>
  <si>
    <t>spätný zásyp: (1,05*1,42*22) - vyp: 1,05*(1,42-0,42-0,55)*22</t>
  </si>
  <si>
    <t xml:space="preserve">poznámka: odstránenie chodníka aj s podkladom (0,31m), búranie vozovky (0,55m) a odhumusovanie (0,15m)  je riešené v cestárskych objektoch vrátane nového zriadenia chodníka/cesty/zatrávnenia. </t>
  </si>
  <si>
    <t>káblové lôžko - piesok (25 cm)</t>
  </si>
  <si>
    <t>odvoz prebytočnej zeminy na spoplatnenej skládke</t>
  </si>
  <si>
    <t>zriadenie/odstránenie paženia štartovacích a cieľových jám</t>
  </si>
  <si>
    <t>zaťahovanie káblov do chráničiek (264+444+140)</t>
  </si>
  <si>
    <t>zaťahovanie káblov do existujúceho káblovodu 12*55m</t>
  </si>
  <si>
    <t>9125100103</t>
  </si>
  <si>
    <t>Elektrizácia železníc - trakčné vedenie, doplňujúce konštrukcie a činnosti, žlaby a chráničky, betónové dosky</t>
  </si>
  <si>
    <t>krycia/oddeľovacia káblová doska</t>
  </si>
  <si>
    <t>výstražná fólia</t>
  </si>
  <si>
    <t>91282505</t>
  </si>
  <si>
    <t>Trakčné vedenia-električky, napájacie a spätné káble, koncovka káblová zmršťovacia vonkajšia do 1x500 mm2, 6 kV</t>
  </si>
  <si>
    <t>káblová koncovka vonkajšia</t>
  </si>
  <si>
    <t>91282508</t>
  </si>
  <si>
    <t>Trakčné vedenia-električky, napájacie a spätné káble, traťový rozvádzač s výzbrojou - plusový</t>
  </si>
  <si>
    <t>traťový rozvádzač - plusový (trolejbusy)</t>
  </si>
  <si>
    <t>91282509</t>
  </si>
  <si>
    <t>Trakčné vedenia-električky, napájacie a spätné káble, traťový rozvádzač s výzbrojou - mínusový</t>
  </si>
  <si>
    <t>traťový rozvádzač - mínusový (trolejbusy)</t>
  </si>
  <si>
    <t>betónový základ pre traťové rozvádzače</t>
  </si>
  <si>
    <t>Doplňujúce konštrukcie, obetónovanie potrubia, z betónu prostého tr. C 20/25 (B 25)</t>
  </si>
  <si>
    <r>
      <t>obetónovanie chráničiek: (1,05*0,42*22) - 16*</t>
    </r>
    <r>
      <rPr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>110</t>
    </r>
  </si>
  <si>
    <r>
      <t>(poznámka: odpočítaný objem chráničiek 16*</t>
    </r>
    <r>
      <rPr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>110)</t>
    </r>
  </si>
  <si>
    <t>602</t>
  </si>
  <si>
    <t>Napájacie vedenie (z meniarne Karlova Ves)</t>
  </si>
  <si>
    <t>603 Ovládanie výhybiek trate Patrónka - Riviéra</t>
  </si>
  <si>
    <t>92110105</t>
  </si>
  <si>
    <t>Zariadenia železničné zabezpečovacie - návestidlá</t>
  </si>
  <si>
    <t>9211010502</t>
  </si>
  <si>
    <t>Zariadenia železničné zabezpečovacie - návestidlá jednostranné, stožiarové</t>
  </si>
  <si>
    <t>svetelné návestidlo</t>
  </si>
  <si>
    <t>92110106</t>
  </si>
  <si>
    <t>Zariadenia železničné zabezpečovacie - skrine</t>
  </si>
  <si>
    <t>9211010601</t>
  </si>
  <si>
    <t>Zariadenia železničné zabezpečovacie - skrine reléové</t>
  </si>
  <si>
    <t>skrinka elektrického ovládania výhybky</t>
  </si>
  <si>
    <t>9125100201</t>
  </si>
  <si>
    <t>Elektrizácia železníc - trakčné vedenie, doplňujúce konštrukcie a činnosti, káble, 0,6/1kV</t>
  </si>
  <si>
    <t>silové a signalizačné káble</t>
  </si>
  <si>
    <t>NSGAFOU 1x2,5 mm²</t>
  </si>
  <si>
    <t>NYY 3x1,5 mm²</t>
  </si>
  <si>
    <t>JZ 600 7x1 mm²</t>
  </si>
  <si>
    <t>plošina (16 Nh)</t>
  </si>
  <si>
    <t>603</t>
  </si>
  <si>
    <t>Ovládanie výhybiek trate Patrónka - Riviéra</t>
  </si>
  <si>
    <t>604 Ochranné opatrenia zariadení nachádzajúcich sa v zóne TV</t>
  </si>
  <si>
    <t>štartovacia a cieľova jama (11x)</t>
  </si>
  <si>
    <t>výkop ryhy: (0,35*0,95*2425)</t>
  </si>
  <si>
    <t>poznámka: odstránenie chodníka aj s podkladom 0,31m a odhumusovanie 0,15m je riešené v cestárskych objektoch vrátane nového zriadenia chodníka 0,31m / zatrávnenia 0,15m v cestárskych objektoch</t>
  </si>
  <si>
    <t>spätný zásyp: (0,35*0,95*2425)</t>
  </si>
  <si>
    <t>spätný zásyp: štartovacia a cieľova jama (11x)</t>
  </si>
  <si>
    <t>chránička HDPE DN63mm</t>
  </si>
  <si>
    <t>Trakčné vedenia - električky, trolej</t>
  </si>
  <si>
    <t>Trakčné vedenia - električky, trolej, prípojnice Cu</t>
  </si>
  <si>
    <t>kábel CHBU 1x120</t>
  </si>
  <si>
    <t>Trakčné vedenia - električky, ukoľajnenie</t>
  </si>
  <si>
    <t>Trakčné vedenia - električky, ukoľajnenie trakčných stožiarov</t>
  </si>
  <si>
    <t>ukoľajnenie trakčných stožiarov</t>
  </si>
  <si>
    <t>Trakčné vedenia - električky, ukoľajnenie ostatných konštrukcií</t>
  </si>
  <si>
    <t>ukoľajnenie portálu TDZ</t>
  </si>
  <si>
    <t>Trakčné vedenia - trolejbusy, prierazky</t>
  </si>
  <si>
    <t>Trakčné vedenia - trolejbusy, prierazky opakovateľné</t>
  </si>
  <si>
    <t>prierazka HL120</t>
  </si>
  <si>
    <t>SP01</t>
  </si>
  <si>
    <t>SR01</t>
  </si>
  <si>
    <t>drôt FeZn 10mm</t>
  </si>
  <si>
    <t>drôt FeZn 10mm PVC</t>
  </si>
  <si>
    <t>ochranný asfaltový náter</t>
  </si>
  <si>
    <t>plošina (29 Nh)</t>
  </si>
  <si>
    <t>604</t>
  </si>
  <si>
    <t>Ochranné opatrenia zariadení nachádzajúcich sa v zóne TV</t>
  </si>
  <si>
    <t>611 Prípojka NN pre zastávku ZOO smer Botanická záhrada</t>
  </si>
  <si>
    <t>výkop ryhy: (0,35*1*25)</t>
  </si>
  <si>
    <t>spätný zásyp: (0,35*0,75*25)</t>
  </si>
  <si>
    <t>výstažná fólia: 25m</t>
  </si>
  <si>
    <t xml:space="preserve">                </t>
  </si>
  <si>
    <t>káblové lôžko - piesok (0,35*0.2*25)</t>
  </si>
  <si>
    <t>podkladový betón: (0,35*0,05*25)</t>
  </si>
  <si>
    <t>45.31.53</t>
  </si>
  <si>
    <t>Inštalovanie zásobovania elektrickou energiou</t>
  </si>
  <si>
    <t>káblová chránička DN40</t>
  </si>
  <si>
    <t>CYKY-J 3x4mm2</t>
  </si>
  <si>
    <t>zaťahovanie káblov, váha kábla do 5 kg</t>
  </si>
  <si>
    <t>Káblové súbory, ukončenie vodičov - NN ukonč. vodičov v rozvádzačoch koncovkami staničnými</t>
  </si>
  <si>
    <t>do 4x6 mm2</t>
  </si>
  <si>
    <t>Prípojka NN pre zastávku ZOO smer Botanická záhrada</t>
  </si>
  <si>
    <t>612 Prípojka NN pre zastávku ZOO smer Habánsky mlyn</t>
  </si>
  <si>
    <t>výkop ryhy: (0,35*1*33)</t>
  </si>
  <si>
    <t>spätný zásyp: (0,35*0,75*33)</t>
  </si>
  <si>
    <t>výstažná fólia: 33m</t>
  </si>
  <si>
    <t>káblové lôžko - piesok (0,35*0.2*33)</t>
  </si>
  <si>
    <t>podkladový betón: (0,35*0,05*33)</t>
  </si>
  <si>
    <t>612</t>
  </si>
  <si>
    <t>Prípojka NN pre zastávku ZOO smer Habánsky mlyn</t>
  </si>
  <si>
    <t>613 Prípojka NN pre zastávku Habánsky mlyn smer ZOO</t>
  </si>
  <si>
    <t>výkop ryhy: (0,35*1*21)</t>
  </si>
  <si>
    <t>spätný zásyp: (0,35*0,75*21)</t>
  </si>
  <si>
    <t>výstažná fólia: 21m</t>
  </si>
  <si>
    <t>káblové lôžko - piesok (0,35*0.2*21)</t>
  </si>
  <si>
    <t>podkladový betón: (0,35*0,05*21)</t>
  </si>
  <si>
    <t>613</t>
  </si>
  <si>
    <t>Prípojka NN pre zastávku Habánsky mlyn smer ZOO</t>
  </si>
  <si>
    <t>614 Prípojka NN pre zastávku Habánsky mlyn smer Suchý mlyn</t>
  </si>
  <si>
    <t>výkop ryhy: (0,35*1*11)</t>
  </si>
  <si>
    <t>spätný zásyp: (0,35*0,75*11)</t>
  </si>
  <si>
    <t>výstažná fólia: 11m</t>
  </si>
  <si>
    <t>káblové lôžko - piesok (0,35*0.2*11)</t>
  </si>
  <si>
    <t>podkladový betón: (0,35*0,05*11)</t>
  </si>
  <si>
    <t>614</t>
  </si>
  <si>
    <t>Prípojka NN pre zastávku Habánsky mlyn smer Suchý mlyn</t>
  </si>
  <si>
    <t>615 Prípojka NN pre CDS Mlynská dolina - Slávičie údolie</t>
  </si>
  <si>
    <t>00020804</t>
  </si>
  <si>
    <t>Požiadavky objednávateľa ostatné požiadavky posudky, kontroly, rev.správy</t>
  </si>
  <si>
    <t>0002080401</t>
  </si>
  <si>
    <t xml:space="preserve">Východzia revízia - elektro </t>
  </si>
  <si>
    <t>Východzia revízia - elektro (8 Nh)</t>
  </si>
  <si>
    <t>odstránenie skrine SR (ZSE č. 0719-006)</t>
  </si>
  <si>
    <t>výkop jamy pre skriňu RE: (0,5*0,4*0,7)</t>
  </si>
  <si>
    <t>výkop jamy pre skriňu SR: (0,8*0,4*0,5)</t>
  </si>
  <si>
    <t>štartovacia a cieľova jama</t>
  </si>
  <si>
    <t>výkop ryhy: (0,35*0,95*56)</t>
  </si>
  <si>
    <t>spätný zásyp: (0,35*0,75*56)</t>
  </si>
  <si>
    <t>výstažná fólia: 77m</t>
  </si>
  <si>
    <t>káblové lôžko - piesok (0,35*0.2*77)</t>
  </si>
  <si>
    <t>SR6 - distribučný rozvádzač v zmysle schémy zapojenia</t>
  </si>
  <si>
    <t>CYKY-J 4x10mm2</t>
  </si>
  <si>
    <t>do 4x50 mm2</t>
  </si>
  <si>
    <t>615</t>
  </si>
  <si>
    <t>Prípojka NN pre CDS Mlynská dolina - Slávičie údolie</t>
  </si>
  <si>
    <t>617 Elektrické rozvody NN na zastávkach</t>
  </si>
  <si>
    <t>výkop jamy pre rozvádzač NN: (0,9*0,4*0,7)*4</t>
  </si>
  <si>
    <t>výkop ryhy: (0,5*1*58)</t>
  </si>
  <si>
    <t>výkop ryhy: (0,65*1*12)</t>
  </si>
  <si>
    <t>spätný zásyp: (0,5*0,75*58)</t>
  </si>
  <si>
    <t>spätný zásyp: (0,65*0,75*12)</t>
  </si>
  <si>
    <t>výstažná fólia: 70m</t>
  </si>
  <si>
    <t>káblové lôžko (piesok): (0,5*0,2*58)</t>
  </si>
  <si>
    <t>káblové lôžko (piesok): (0,65*0,2*12)</t>
  </si>
  <si>
    <t>podkladový betón: (0,5*0,05*58)</t>
  </si>
  <si>
    <t>podkladový betón: (0,65*0,05*12)</t>
  </si>
  <si>
    <t>káblová chránička DN25</t>
  </si>
  <si>
    <t>CYKY-O 3x2,5mm2</t>
  </si>
  <si>
    <t>NN rozvádzač v zmysle schémy zapojenia</t>
  </si>
  <si>
    <t>617</t>
  </si>
  <si>
    <t>Elektrické rozvody NN na zastávkach</t>
  </si>
  <si>
    <t>618 Informačný systém na zastávkach – Informačné tabule</t>
  </si>
  <si>
    <t>ROZPOČET</t>
  </si>
  <si>
    <t>výkop ryhy: (0,35*0,64*67)</t>
  </si>
  <si>
    <t>spätný zásyp: (0,35*0,44*67)</t>
  </si>
  <si>
    <t>káblové lôžko - piesok (20 cm)</t>
  </si>
  <si>
    <t>Rozvádzače - NN  rozvodnice ovládacie, prúd jednosmerný</t>
  </si>
  <si>
    <t>Rozvádzač čať Slaboprúd podľa PD</t>
  </si>
  <si>
    <t>Úložný materiál - rúrky ochranné, ulož. pevne, tuhé</t>
  </si>
  <si>
    <t>Úložný materiál - rúrky ochranné, ulož. pevne, tuhé plastové</t>
  </si>
  <si>
    <t>chráničká hladká HDPE40</t>
  </si>
  <si>
    <t>Kábel FTP 4</t>
  </si>
  <si>
    <t>618</t>
  </si>
  <si>
    <t>619</t>
  </si>
  <si>
    <t>620</t>
  </si>
  <si>
    <t>621</t>
  </si>
  <si>
    <t>622</t>
  </si>
  <si>
    <t>Informačný systém na zastávkach – Informačné tabule</t>
  </si>
  <si>
    <t>619 Preložka a ochrana VN vedení</t>
  </si>
  <si>
    <t>Východzia revízia - elektro</t>
  </si>
  <si>
    <t>1.odborná prehliadka a skúška</t>
  </si>
  <si>
    <t>1.úradná skúška</t>
  </si>
  <si>
    <t>00020808</t>
  </si>
  <si>
    <t>Požiadavky objednávateľa ostatné požiadavky meranie izolačného stavu káblov</t>
  </si>
  <si>
    <t>Meranie izolačného stavu káblov-Kenotron</t>
  </si>
  <si>
    <t>(1,2*1,2*1)*12</t>
  </si>
  <si>
    <t>rozbíjanie základov-stožiare: 17,28 m3*2,20 t/m3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</si>
  <si>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 0,65*1,2*(1196)</t>
    </r>
  </si>
  <si>
    <t>uloženie vytlačenej zeminy na spoplatnenú skládku</t>
  </si>
  <si>
    <t>ryha 0,65*(1,2-0,3)*1196</t>
  </si>
  <si>
    <t>káblová ryha 0,65*0,3*(1196)</t>
  </si>
  <si>
    <t>2*1196=2392m</t>
  </si>
  <si>
    <t>odvoz vytlacenej zeminy na spoplatnenú skládku</t>
  </si>
  <si>
    <t xml:space="preserve">KSX-PE 160/9,1, </t>
  </si>
  <si>
    <t>HDPE300 (933+344+223+110)</t>
  </si>
  <si>
    <t>podklad pod chráničky hrúbka 300mm</t>
  </si>
  <si>
    <t>1,0*0,05*(180)</t>
  </si>
  <si>
    <t>spojka HJ11.2403C,12,7/22 (24),70 - 240, 3*6=18</t>
  </si>
  <si>
    <t>Preložka a ochrana VN vedení</t>
  </si>
  <si>
    <t>620 Preložka a ochrana NN vedení</t>
  </si>
  <si>
    <t>rozbíjanie základov-PRIS</t>
  </si>
  <si>
    <t>(1,2*1,2*1)*3</t>
  </si>
  <si>
    <t>rozbíjanie základov-PRIS: 4,32 m3*2,20 t/m3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</si>
  <si>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 0,65*1,2*(410)</t>
    </r>
  </si>
  <si>
    <t>ryha 0,65*(1,2-0,3)*410</t>
  </si>
  <si>
    <t>káblová ryha 0,65*0,3*(410)</t>
  </si>
  <si>
    <t>KSX-PE 160</t>
  </si>
  <si>
    <t>1,0*0,05*(80)</t>
  </si>
  <si>
    <t>1-NAYY-J  4 x 240</t>
  </si>
  <si>
    <t>1-NAYY-J  4 x 70</t>
  </si>
  <si>
    <t>koncovka</t>
  </si>
  <si>
    <t>spojka</t>
  </si>
  <si>
    <t>skriňa SR</t>
  </si>
  <si>
    <t>svorka FeZn, SJ02</t>
  </si>
  <si>
    <t>Preložka a ochrana NN vedení</t>
  </si>
  <si>
    <t>621 Preložka NN vzdušného vedenia</t>
  </si>
  <si>
    <t>KÓD KP</t>
  </si>
  <si>
    <t>rozbíjanie základov-pilier RE</t>
  </si>
  <si>
    <t>(0,7*0,7*1)*1</t>
  </si>
  <si>
    <t>rozbíjanie základov-pilier RE: 0,49 m3*2,20 t/m3</t>
  </si>
  <si>
    <r>
      <rPr>
        <b/>
        <i/>
        <sz val="10"/>
        <rFont val="Arial"/>
        <family val="2"/>
        <charset val="238"/>
      </rPr>
      <t>ručný</t>
    </r>
    <r>
      <rPr>
        <i/>
        <sz val="10"/>
        <rFont val="Arial"/>
        <family val="2"/>
        <charset val="238"/>
      </rPr>
      <t xml:space="preserve"> výkop jamy pre skriňu RE1.0: (0,8*0,8*1,5)*3</t>
    </r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</si>
  <si>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ryhy:(60*0,5*0,8)</t>
    </r>
  </si>
  <si>
    <t>spätný zásyp: (60*0,5*0,2)</t>
  </si>
  <si>
    <t>výstražná fólia: 120m</t>
  </si>
  <si>
    <t>obetónovanie chráničky: (0,5*0,33*520)</t>
  </si>
  <si>
    <t>kábel CYKY-J  5x6 mm2</t>
  </si>
  <si>
    <t>skriňa RE1.0/63A so zemným dielom, IP44/IP20</t>
  </si>
  <si>
    <t>Preložka NN vzdušného vedenia</t>
  </si>
  <si>
    <t>622 Preložka NN káblového vedenia pre nájomnú prevádzku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</si>
  <si>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ryhy:(30*0,5*0,8)</t>
    </r>
  </si>
  <si>
    <t>uloženie prebytoku zeminy na spoplatnenú skládku</t>
  </si>
  <si>
    <t>spätný zásyp: (30*0,5*0,2)</t>
  </si>
  <si>
    <t>káblové lôžko (piesok): (0,5*0,2*30)</t>
  </si>
  <si>
    <t>odvoz prebytočnej zeminy na spoplatnenú skládku:</t>
  </si>
  <si>
    <t>kábel CYKY-J  5x25 mm2</t>
  </si>
  <si>
    <t>kábel 1-NAYY-J  4x35 mm2</t>
  </si>
  <si>
    <t>Preložka NN káblového vedenia pre nájomnú prevádzku</t>
  </si>
  <si>
    <t>631 Prekládka verejného osvetlenia</t>
  </si>
  <si>
    <t>Výkop jamy pre základ osvetľovacieho stožiaru 9x(0,5x0,5x1,5m)</t>
  </si>
  <si>
    <t>Štartovacia a cieľova jama 60x(2,5*1*1,2)</t>
  </si>
  <si>
    <t>výkop ryhy pod chodníkom: (0,35*0,84*4305)</t>
  </si>
  <si>
    <t>výkop ryhy vo voľnom teréne: (0,35*0,8*521)</t>
  </si>
  <si>
    <t>spätný zásyp: (0,35*0,64*4305)</t>
  </si>
  <si>
    <t>spätný zásyp: (0,35*0,6*521)</t>
  </si>
  <si>
    <t>výstažná fólia: 4826 m</t>
  </si>
  <si>
    <t>Poznámka: odstránenie chodníka aj s podkladom 0,31m a odhumusovanie 0,15m je riešené v cestárskych objektoch vrátane nového zriadenia chodníka 0,31m / zatrávnenia 0,15m v cestárskych objektoch</t>
  </si>
  <si>
    <t>Pretlak DN 110</t>
  </si>
  <si>
    <t xml:space="preserve">Vystavenie revíznej správy UTZ - Úradná skúška </t>
  </si>
  <si>
    <t>Základ osvetľovacieho stožiaru 9x(0,5x0,5x1,5m)</t>
  </si>
  <si>
    <t>1101021301</t>
  </si>
  <si>
    <t>Základy, pätky, debnenie zabudované drevené</t>
  </si>
  <si>
    <t>Stratené debnenie osvetľovacieho stožiaru 9x(0,95x1,5m)</t>
  </si>
  <si>
    <t>1101022103</t>
  </si>
  <si>
    <t>Základy, pätky, výstuž z betonárskej ocele 10335</t>
  </si>
  <si>
    <t>Prút DN10 (90m) 0,63kg/m</t>
  </si>
  <si>
    <t>CYKY-J 3x2,5mm2</t>
  </si>
  <si>
    <t>CYKY-J 5x10mm2</t>
  </si>
  <si>
    <t>CYKY-J 5x16mm2</t>
  </si>
  <si>
    <t>Úložný materiál - rúrky ochranné, ulož. pevne, ohybné</t>
  </si>
  <si>
    <t>Úložný materiál - rúrky ochranné, ulož. pevne, ohybné plastové</t>
  </si>
  <si>
    <t>káblová chránička DN 63</t>
  </si>
  <si>
    <t>chráničká hladká do pretlaku DN110</t>
  </si>
  <si>
    <t>chráničká hladká  HDPE 40</t>
  </si>
  <si>
    <t>mikrotrubička 10/8mm</t>
  </si>
  <si>
    <t>Prístroje istiace, odpojovače poistkové NN trojpólové</t>
  </si>
  <si>
    <t>Prístroje istiace, odpojovače poistkové NN trojpólové vnútorné</t>
  </si>
  <si>
    <t xml:space="preserve">Poistkové odpojovače 3f </t>
  </si>
  <si>
    <t>Poistkové vložky 16A</t>
  </si>
  <si>
    <t xml:space="preserve">Skrinka IPS VO na stožiar </t>
  </si>
  <si>
    <t>Prístroje meracie - elektromery trojfázové, watthodinové</t>
  </si>
  <si>
    <t xml:space="preserve">Prístroje meracie - elektromery trojfázové, watthodinové, elektronické </t>
  </si>
  <si>
    <t xml:space="preserve">Podružný elektromer </t>
  </si>
  <si>
    <t>Stožiar rúrový oceľový votknutý nadzemná časť 10m RAL 7016</t>
  </si>
  <si>
    <t>Svietidlá a osvetľovacie zariadenia - svietidlá priemyselné LED</t>
  </si>
  <si>
    <t>Philips BGP283 LED-13502lm/730 DM30DM52 7016 D304 2xSR 5x1.5_10m 76/60 I</t>
  </si>
  <si>
    <t>Philips BGP282 LED-7504lm/730 DM30DM52 7016 D209 2xSR 5x1.5_10m 76/60 I</t>
  </si>
  <si>
    <t>Philips BGP235 LED30-4S/740 DSM11 D9 MIO-CIO MBQ</t>
  </si>
  <si>
    <t>Philips BGP282 LED-13327lm/740 DPR1 7016 D209 2xSR 5x1.5_10m 76/60 I</t>
  </si>
  <si>
    <t>poznámka: podľa manuálu Technické siete Bratislava, a.s.</t>
  </si>
  <si>
    <t>Svietidlá a osvetľovacie zariadenia - príslušenstvo pre svietidlá</t>
  </si>
  <si>
    <t>Svietidlá a osvetľovacie zariadenia - príslušenstvo pre svietidlá, výložníky</t>
  </si>
  <si>
    <t>Nadstavec N114/76/1500 RAL 7016</t>
  </si>
  <si>
    <t>Výložník dvojramenný dĺžka ramena 0,15m 90° VD2/76/150/90 RAL 7016</t>
  </si>
  <si>
    <t>Výložník dvojramenný dĺžka ramena 0,15m 180° VD2/76/150/180 RAL 7016</t>
  </si>
  <si>
    <t>Výložník trojramenný dĺžka ramena 0,15m 120° VD3/76/150/120 RAL 7016</t>
  </si>
  <si>
    <t xml:space="preserve">Výložník na priechod na pripáskovanie  dĺžka ramena 0,5m  VT1/500 RAL 7016 </t>
  </si>
  <si>
    <t>Stožiarová svorkovnica</t>
  </si>
  <si>
    <t>Elektromontáže - údržba, činnosti</t>
  </si>
  <si>
    <t>Elektromontáže - údržba, činnosti, demontáž el. zariadení</t>
  </si>
  <si>
    <t>Demontáž stožiara osvetľovacieho</t>
  </si>
  <si>
    <t>Demontáž výložníka</t>
  </si>
  <si>
    <t>Demontáž elektrovýzbroje</t>
  </si>
  <si>
    <t>Demontáž svietidla</t>
  </si>
  <si>
    <t>plošina (87 Nh)</t>
  </si>
  <si>
    <t>žeriav (9Nh)</t>
  </si>
  <si>
    <t>Prekládka verejného osvetlenia</t>
  </si>
  <si>
    <t>651</t>
  </si>
  <si>
    <t>652</t>
  </si>
  <si>
    <t>653</t>
  </si>
  <si>
    <t>654</t>
  </si>
  <si>
    <t>655</t>
  </si>
  <si>
    <t>656</t>
  </si>
  <si>
    <t>662</t>
  </si>
  <si>
    <t>663</t>
  </si>
  <si>
    <t>664</t>
  </si>
  <si>
    <t>678</t>
  </si>
  <si>
    <t>681</t>
  </si>
  <si>
    <t>684</t>
  </si>
  <si>
    <t>687</t>
  </si>
  <si>
    <t>801</t>
  </si>
  <si>
    <t>651 Optický kábel pre ovládanie meniarne a diaľkový dohľad nad výhybkami</t>
  </si>
  <si>
    <t>výkop ryhy v zeleni 2m</t>
  </si>
  <si>
    <t>výkop ryhy v chodníku 67m</t>
  </si>
  <si>
    <t>výstažná fólia: 69m</t>
  </si>
  <si>
    <t>pretláčanie cesty 1xDN110</t>
  </si>
  <si>
    <t>45.31.43</t>
  </si>
  <si>
    <t>Inštalovanie telefónných káblov, pokládka káblov</t>
  </si>
  <si>
    <t>FTP kábel Cat.6A vonkajší (vrátane ukončenia konektormi RJ45)</t>
  </si>
  <si>
    <t>Vedenia vonkajšie, káblové (miestne siete) - káble miestne optické</t>
  </si>
  <si>
    <t>Vedenia vonkajšie, káblové (miestne siete) - káble miestne optické ulož. v chráničkách</t>
  </si>
  <si>
    <t>zafukovanie optického minikábla TKF LTMC A-DQ(ZN)2Y 96  - 96-vláknový</t>
  </si>
  <si>
    <t>ukončenie 96vl. optického minikábla na ODF konektormi E2000/APC</t>
  </si>
  <si>
    <t>káblový kríž na stenu 1ks</t>
  </si>
  <si>
    <t>Vedenia vonkajšie, káblové (miestne siete) - káblovody z rúr</t>
  </si>
  <si>
    <t>Vedenia vonkajšie, káblové (miestne siete) - káblovody z rúr plastových</t>
  </si>
  <si>
    <t>zaťahovanie multirúry Dura-line, DuraPack 40/34 + 7x10/8 mm do multikanálu súčane s multirúrou pre objekt SO652 vrátane spájania a ukončenia trubičiek a materiálu</t>
  </si>
  <si>
    <t>chránička korugovaná DN50 (pokládka do výkopu)</t>
  </si>
  <si>
    <t>mikrotrubička DB 12/8  20m</t>
  </si>
  <si>
    <t>Mikrotrubičkové spojky 10/8mm  42ks</t>
  </si>
  <si>
    <t>Mikrotrubičkové koncovky 10mm  70ks</t>
  </si>
  <si>
    <t>Vedenia vonkajšie, káblové (miestne siete) - káblovody z rúr kovových</t>
  </si>
  <si>
    <t>Oceľová chránička/trubka (ochrana vedení na stĺpe)</t>
  </si>
  <si>
    <t>Vedenia vonkajšie, káblové (miestne siete) - rozvádzače plastové</t>
  </si>
  <si>
    <t>Vedenia vonkajšie, káblové (miestne siete) - rozvádzače plastové upev. na kovovú konštrukciu</t>
  </si>
  <si>
    <t>vonkajší stĺpový optický rozvádzač pre ukončenie 12vl. a umiestnie optického prevodníka</t>
  </si>
  <si>
    <t>meranie optických vlákien jednostranné OTDR
(96 vlákien z ukončeného kábla)</t>
  </si>
  <si>
    <t>meranie optických vlákien jednostranné OTDR
(2 vlákna z každého buffera z neukončeného kábla (8x2))</t>
  </si>
  <si>
    <t>meranie FTP kábla</t>
  </si>
  <si>
    <t>Optický kábel pre ovládanie meniarne a diaľkový dohľad nad výhybkami</t>
  </si>
  <si>
    <t>652 Optický kábel pre informačný systém na zastávkach</t>
  </si>
  <si>
    <t>zaťahovanie multirúry Dura-line, DuraPack 40/34 + 7x10/8 mm do multikanálu súčane s multirúrou pre objekt SO651 vrátane spájania a ukončenia trubičiek a materiálu</t>
  </si>
  <si>
    <t>meranie optických vlákien jednostranné OTDR - 2 vlákna z každého buffera (spolu 2x 8x2)</t>
  </si>
  <si>
    <t>Optický kábel pre informačný systém na zastávkach</t>
  </si>
  <si>
    <t xml:space="preserve">653 Optické káble CDS Úsek Valašská - Nábr. arm. gen. L. Svobodu / Botanická </t>
  </si>
  <si>
    <t>00030707</t>
  </si>
  <si>
    <t>Požiadavky objednávateľa ostatné požiadavky na skúšky</t>
  </si>
  <si>
    <t>0003070701</t>
  </si>
  <si>
    <t>Individuálne skúšky</t>
  </si>
  <si>
    <t>0003070702</t>
  </si>
  <si>
    <t>Komplexné skúšky</t>
  </si>
  <si>
    <t>00030708</t>
  </si>
  <si>
    <t>Požiadavky objednávateľa ostatné požiadavky na koordinácie s nadväznými systémami</t>
  </si>
  <si>
    <t xml:space="preserve"> - implementácia technologických staníc do existujúceho systému</t>
  </si>
  <si>
    <t xml:space="preserve"> - demontáž kábel TCEKEE 3x2x1,0</t>
  </si>
  <si>
    <t xml:space="preserve"> - demontáž ukončenia párovaných káblov do TCEKE... 3P</t>
  </si>
  <si>
    <t xml:space="preserve"> - demontáž ukončenia párovaných káblov do TCEKE... 12P</t>
  </si>
  <si>
    <t xml:space="preserve"> - demontáž RS</t>
  </si>
  <si>
    <t xml:space="preserve"> - odvoz na sklad správcu signalizácie (kabeláž, stožiare)</t>
  </si>
  <si>
    <t xml:space="preserve"> - jama pre základ ORS, 1,5*0,55*0,5=</t>
  </si>
  <si>
    <t xml:space="preserve"> - káblová ryha 350/500, 13*0,35*0,19 =</t>
  </si>
  <si>
    <t xml:space="preserve"> - káblová ryha 350/800, 71*0,35*0,65 =</t>
  </si>
  <si>
    <t xml:space="preserve"> - káblová ryha 650/1200, 8*0,65*0,65 =</t>
  </si>
  <si>
    <t xml:space="preserve"> - uloženie prebytočnej zeminy na skládke</t>
  </si>
  <si>
    <t xml:space="preserve"> - káblová ryha 350/500, 13*0,35*0,09 =</t>
  </si>
  <si>
    <t xml:space="preserve"> - káblová ryha 350/800, 71*0,35*0,55 =</t>
  </si>
  <si>
    <t xml:space="preserve"> - káblová ryha 650/1200, 8*0,65*0,35 =</t>
  </si>
  <si>
    <t>0104050107</t>
  </si>
  <si>
    <t>Konštrukcie z hornín - obsypy bez zhutnenia, tr. horniny 1-4</t>
  </si>
  <si>
    <t xml:space="preserve"> - lôžko z preosiatej zeminy, (13+71)*0,35*0,1 =</t>
  </si>
  <si>
    <t xml:space="preserve"> - prebytočná zemina a kamenivo na skládku odpadu, (0,41+20,4)-(15,9+2,94)=</t>
  </si>
  <si>
    <t>45.23.16</t>
  </si>
  <si>
    <t>Stavebné práce na stavbe komunikačných vedení</t>
  </si>
  <si>
    <t>1101010107</t>
  </si>
  <si>
    <t>Základy, pásy z betónu prostého, tr. C 30/37 (B 35)</t>
  </si>
  <si>
    <t xml:space="preserve"> - základ ORS, 1,5*0,55*0,5=</t>
  </si>
  <si>
    <t>11010111</t>
  </si>
  <si>
    <t>Základy, pásy, debnenie tradičné</t>
  </si>
  <si>
    <t>1101011101</t>
  </si>
  <si>
    <t>Základy, pásy, debnenie tradičné drevené</t>
  </si>
  <si>
    <t xml:space="preserve"> - základ ORS, 1,5*0,5=</t>
  </si>
  <si>
    <t>11250902</t>
  </si>
  <si>
    <t>Doplňujúce konštrukcie, obetónovanie potrubia, z betónu železového</t>
  </si>
  <si>
    <t>1125090206</t>
  </si>
  <si>
    <t>Doplňujúce konštrukcie, obetónovanie potrubia, z betónu železového tr. C 25/30 (B 30)</t>
  </si>
  <si>
    <t xml:space="preserve"> - káblová ryha v komunikácii, (8*0,65*0,3)-((3,14*(0,05*0,05)*8)*3) =</t>
  </si>
  <si>
    <t xml:space="preserve"> - káblová ryha chodník/zeleň, FXKVR 110</t>
  </si>
  <si>
    <t xml:space="preserve"> - káblová ryha v komunikácii, FXKVS 160, 8*3 =</t>
  </si>
  <si>
    <t xml:space="preserve"> spolu :</t>
  </si>
  <si>
    <t xml:space="preserve"> - kábel CYKY-J 3x6,0</t>
  </si>
  <si>
    <t>Vedenia vonkajšie, káblové (miestne siete) - káble miestne ovládacie</t>
  </si>
  <si>
    <t>Vedenia vonkajšie, káblové (miestne siete) - káble miestne ovládacie, žlab, kanálik</t>
  </si>
  <si>
    <t xml:space="preserve"> - optický kábel 4vláknový</t>
  </si>
  <si>
    <t xml:space="preserve"> - optický kábel 8vláknový</t>
  </si>
  <si>
    <t xml:space="preserve"> - optický kábel 24vláknový</t>
  </si>
  <si>
    <t xml:space="preserve"> - optický kábel 96vláknový</t>
  </si>
  <si>
    <t>Vedenia vonkajšie, káblové (miestne siete) - spojky káblové rovné</t>
  </si>
  <si>
    <t>Vedenia vonkajšie, káblové (miestne siete) - spojky káblové rovné, spájanie žíl ostatnými TG</t>
  </si>
  <si>
    <t xml:space="preserve"> - spojka pre párové káble typu TCEKEE 12P</t>
  </si>
  <si>
    <t>Vedenia vonkajšie, káblové (miestne siete) - spojky káblové odbočné</t>
  </si>
  <si>
    <t>Vedenia vonkajšie, káblové (miestne siete) - spojky káblové odbočné, spájanie žíl ostatnými TG</t>
  </si>
  <si>
    <t xml:space="preserve"> - spojka optická pre kábel 8vláknový</t>
  </si>
  <si>
    <t xml:space="preserve"> - spojka optická pre kábel 96vláknový</t>
  </si>
  <si>
    <t xml:space="preserve"> - kábel TCEKEE 3x2x1,0</t>
  </si>
  <si>
    <t>Vedenia vonkajšie, káblové (miestne siete) - ukončenie káblov celoplastových skriňami</t>
  </si>
  <si>
    <t xml:space="preserve"> - HDPE rúra 40/33+MT</t>
  </si>
  <si>
    <t>Vedenia vonkajšie, káblové (miestne siete) - uzemnenie meranie zem. odporu</t>
  </si>
  <si>
    <t>Vedenia vonkajšie, káblové (miestne siete) - uzemnenie meranie zem. odporu jedného zvodu</t>
  </si>
  <si>
    <t xml:space="preserve"> - meranie zem. odporu</t>
  </si>
  <si>
    <t xml:space="preserve"> - náter uzemňovacieho vedenia </t>
  </si>
  <si>
    <t>Telefónne systémy a účastnícke zariadenia, - spojovacie zariadenia</t>
  </si>
  <si>
    <t>Telefónne systémy a účastnícke zariadenia, - spojovacie zariadenia, koncové</t>
  </si>
  <si>
    <t xml:space="preserve"> - technologická stanica (ORS), komplet + opláštenie</t>
  </si>
  <si>
    <t xml:space="preserve">Optické káble CDS Úsek Valašská - Nábr. arm. gen. L. Svobodu / Botanická </t>
  </si>
  <si>
    <t>654 Ochrana a preložky vedení Slovak Telekom, a.s.</t>
  </si>
  <si>
    <t>základ stožiaru</t>
  </si>
  <si>
    <t>0502034109</t>
  </si>
  <si>
    <t>Vybúranie konštrukcií a demontáže, inštalačného vedenia a príslušenstva stožiarov telekomunikačných- komplet</t>
  </si>
  <si>
    <t>stožiar drevený</t>
  </si>
  <si>
    <t>0502034112</t>
  </si>
  <si>
    <t>Vybúranie konštrukcií a demontáže, inštalačného vedenia a príslušenstva stožiarov silnoprúdové betónové-komplet</t>
  </si>
  <si>
    <t>stožiar betónový</t>
  </si>
  <si>
    <t>výkop ryhy v zeleni 25m</t>
  </si>
  <si>
    <t>výkop ryhy v chodníku 99m</t>
  </si>
  <si>
    <t>poznámka: v súbehu s SO 305 ryha nezapočítaná (káble sa budú ukladať do ryhy k multikanálu)</t>
  </si>
  <si>
    <t>výstažná fólia: 99m</t>
  </si>
  <si>
    <t>pretláčanie cesty 1xDN90</t>
  </si>
  <si>
    <t>Vedenia vonkajšie, káblové (miestne siete) - káble miestne telefónne</t>
  </si>
  <si>
    <t>Vedenia vonkajšie, káblové (miestne siete) - káble miestne telefónne ulož. voľne</t>
  </si>
  <si>
    <t>metalický kábel – FLE 10XN 0,6</t>
  </si>
  <si>
    <t>preloženie (fyzický posun) koaxiálneho kábla</t>
  </si>
  <si>
    <t>Vedenia vonkajšie, káblové (miestne siete) - káble miestne telefónne ulož. v chráničkách</t>
  </si>
  <si>
    <t>Vedenia vonkajšie, káblové (miestne siete) - káble miestne telefónne závesné</t>
  </si>
  <si>
    <t>demontáž závesného vedenia</t>
  </si>
  <si>
    <t>montáž závesného vedenia (bez materiálu, len uchytenie na nový stožiar)</t>
  </si>
  <si>
    <t>delená chránička DN 110</t>
  </si>
  <si>
    <t>HDPE 40/33 (oranžová)</t>
  </si>
  <si>
    <t>vrátane ukončenia v zákazníckej zásuvke a ÚR</t>
  </si>
  <si>
    <t>meranie metalický kábel – FLE 10XN 0,6</t>
  </si>
  <si>
    <t>Ochrana a preložky vedení Slovak Telekom, a.s.</t>
  </si>
  <si>
    <t>655 Ochrana a preložky vedení SWAN</t>
  </si>
  <si>
    <t>00020809</t>
  </si>
  <si>
    <t>Technický dozor správcu siete</t>
  </si>
  <si>
    <t>výkop ryhy v chodníku 52m</t>
  </si>
  <si>
    <t>výstažná fólia: 52m</t>
  </si>
  <si>
    <t>Vedenia vonkajšie, káblové (miestne siete) - káble miestne optické závesné</t>
  </si>
  <si>
    <t>presunutie trasy závesného optického vedenia dĺžky 89m (tam a späť)</t>
  </si>
  <si>
    <t>presunutie trasy závesného optického vedenia dĺžky 36m</t>
  </si>
  <si>
    <t>uloženie HDPE 40 do žľabu</t>
  </si>
  <si>
    <t>Vedenia vonkajšie, káblové (miestne siete) - káblovody zo žľabov s poklopom</t>
  </si>
  <si>
    <t>Vedenia vonkajšie, káblové (miestne siete) - káblovody zo žľabov s poklopom betónových</t>
  </si>
  <si>
    <t>zľab TK2</t>
  </si>
  <si>
    <t>Vedenia vonkajšie, káblové (miestne siete) - konzoly priebežné kovové, pozinkované</t>
  </si>
  <si>
    <t>Vedenia vonkajšie, káblové (miestne siete) - konzoly priebežné kovové, pozinkované na stožiare kovové</t>
  </si>
  <si>
    <t>stĺpový výložník (Botanická ul.)</t>
  </si>
  <si>
    <t>kontrolné meranie tlmenia na optickom kábli (pred a po preložke)</t>
  </si>
  <si>
    <t>Ochrana a preložky vedení SWAN</t>
  </si>
  <si>
    <t>656 Ochrana a preložky vedení UPC</t>
  </si>
  <si>
    <t>výkop ryhy v zeleni 18m</t>
  </si>
  <si>
    <t>výkop ryhy v chodníku 127m</t>
  </si>
  <si>
    <t>výstažná fólia: 90m</t>
  </si>
  <si>
    <t>preloženie (fyzický posun) mikrotrubičky 14/10</t>
  </si>
  <si>
    <t>preloženie (fyzický posun) HDPE 40</t>
  </si>
  <si>
    <t>Vedenia vonkajšie, káblové (miestne siete) - káble miestne oznamovacie ulož. voľne</t>
  </si>
  <si>
    <t>Ochrana a preložky vedení UPC</t>
  </si>
  <si>
    <t>662 Kamerový dohľad križovatky K417</t>
  </si>
  <si>
    <t xml:space="preserve"> - implementácia kamery do existujúceho systému</t>
  </si>
  <si>
    <t>00140443</t>
  </si>
  <si>
    <t>Ostatné náklady stavby, práce na ťažko prístupných miestach, práce vo výškach resp. hĺbkach</t>
  </si>
  <si>
    <t xml:space="preserve"> - montážna plošina</t>
  </si>
  <si>
    <t xml:space="preserve"> - autožeriav</t>
  </si>
  <si>
    <t xml:space="preserve"> - stožiar kamerového dohľadu, KD (1,3*1*1)+(0,3*1,6*1,6)+(1,6*1,6*0,1)=</t>
  </si>
  <si>
    <t xml:space="preserve"> - prebytočná zemina a kamenivo na skládku odpadu,  (1,3*1*1)+(0,3*1,6*1,6)+(1,6*1,6*0,1)=</t>
  </si>
  <si>
    <t xml:space="preserve"> - stožiar kamerového dohľadu, KD ((1,6*1,8)*4) =</t>
  </si>
  <si>
    <t>Vedenia nadzemné - stožiare, jednoduché</t>
  </si>
  <si>
    <t>Vedenia nadzemné - stožiare, jednoduché betónové</t>
  </si>
  <si>
    <t xml:space="preserve"> - stožiar predpätý betónový pre kamerový dohľad</t>
  </si>
  <si>
    <t>Vedenia nadzemné - stožiare, tabuľky na stožiar</t>
  </si>
  <si>
    <t>Vedenia nadzemné - stožiare, tabuľky na stožiar plastové</t>
  </si>
  <si>
    <t xml:space="preserve"> - označenie stožiara kamerového dohľadu</t>
  </si>
  <si>
    <t>Vedenia nadzemné - výstroj stožiarov, konzoly na stožiare</t>
  </si>
  <si>
    <t>Vedenia nadzemné - výstroj stožiarov, konzoly na stožiare pre vedenia oznamovacie</t>
  </si>
  <si>
    <t xml:space="preserve"> - konzola kamery teleskopická</t>
  </si>
  <si>
    <t xml:space="preserve"> - držiak spojky/káblovej rezervy (RAL 7016)</t>
  </si>
  <si>
    <t>Vedenia nadzemné - výstroj stožiarov, rozpojky skúšobné</t>
  </si>
  <si>
    <t>Vedenia nadzemné - výstroj stožiarov, rozpojky skúšobné s uzemnením</t>
  </si>
  <si>
    <t xml:space="preserve"> - svorkovnica ekvipotenciálna EPS</t>
  </si>
  <si>
    <t xml:space="preserve"> - svorka skúšobná</t>
  </si>
  <si>
    <t xml:space="preserve"> - ukoľajnenie, uzemnenie stožiara signalizácie</t>
  </si>
  <si>
    <t>Vedenia vonkajšie, káblové (miestne siete) - vedenia uzemňovacie v zemi FeZn</t>
  </si>
  <si>
    <t>Vedenia vonkajšie, káblové (miestne siete) - vedenia uzemňovacie v zemi FeZn, uzemňovacia tyč</t>
  </si>
  <si>
    <t xml:space="preserve"> - zachytávacia tyč na stožiar KD</t>
  </si>
  <si>
    <t xml:space="preserve"> - uzemňovacia tyč</t>
  </si>
  <si>
    <t>Vedenia vonkajšie, káblové (miestne siete) - vedenia uzemňovacie na povrchu FeZn</t>
  </si>
  <si>
    <t>Vedenia vonkajšie, káblové (miestne siete) - vedenia uzemňovacie na povrchu FeZn uzemňovací pás do 120 mm2</t>
  </si>
  <si>
    <t xml:space="preserve"> - FeZn pás do 120mm2, vrátane svoriek</t>
  </si>
  <si>
    <t>Vedenia vonkajšie, káblové (miestne siete) - vedenia uzemňovacie na povrchu FeZn uzemňovací drôt do 120 mm2</t>
  </si>
  <si>
    <t xml:space="preserve"> - izolovaný vodič, sada HVI</t>
  </si>
  <si>
    <t>Slaboprúdové zariadenia - zabezpečovacie a strážiace kamery vysielacie</t>
  </si>
  <si>
    <t>Slaboprúdové zariadenia - zabezpečovacie a strážiace kamery vysielacie vonkajšie</t>
  </si>
  <si>
    <t xml:space="preserve"> - exteriérova, farebná, otočná kamera</t>
  </si>
  <si>
    <t>Slaboprúdové zariadenia - zabezpečovacie a strážiace škatule</t>
  </si>
  <si>
    <t>Slaboprúdové zariadenia - zabezpečovacie a strážiace škatule na povrch</t>
  </si>
  <si>
    <t xml:space="preserve"> - technologická stanica kamerového dohľadu (TS-KD)</t>
  </si>
  <si>
    <t>Kamerový dohľad križovatky K417</t>
  </si>
  <si>
    <t>663 Kamerový dohľad križovatky K4121</t>
  </si>
  <si>
    <t xml:space="preserve"> - káblová ryha 350/500, 3*0,35*0,19 =</t>
  </si>
  <si>
    <t xml:space="preserve"> - lôžko z preosiatej zeminy, 3*0,35*0,1 =</t>
  </si>
  <si>
    <t xml:space="preserve"> - káblová ryha v chodníku, FXKVR 110 =</t>
  </si>
  <si>
    <t xml:space="preserve"> - kábel FTP, 65+12 = </t>
  </si>
  <si>
    <t>Kamerový dohľad križovatky K4121</t>
  </si>
  <si>
    <t>664 Kamerový dohľad križovatky K4122</t>
  </si>
  <si>
    <t xml:space="preserve"> - káblová ryha 350/500, 2*0,35*0,19 =</t>
  </si>
  <si>
    <t xml:space="preserve"> - káblová ryha 350/800, 1*0,35*0,65 =</t>
  </si>
  <si>
    <t>Kamerový dohľad križovatky K4122</t>
  </si>
  <si>
    <t>671 Križ.č. 490 Úprava CDS Mlynská dolina - Valašská</t>
  </si>
  <si>
    <t xml:space="preserve"> - izolovaná plošina</t>
  </si>
  <si>
    <t xml:space="preserve"> - demontáž kábel CMSM 5x1,5</t>
  </si>
  <si>
    <t xml:space="preserve"> - demontáž uzemnenia stožiara signalizácie</t>
  </si>
  <si>
    <t xml:space="preserve"> - demontáž objímka káblová značkovacia</t>
  </si>
  <si>
    <t xml:space="preserve"> - demontáž číslovania káblov</t>
  </si>
  <si>
    <t xml:space="preserve"> - demontáž ukončenia návestných káblov do 5x1,5</t>
  </si>
  <si>
    <t xml:space="preserve"> - demontáž ukončenia návestných káblov do 19x1,5</t>
  </si>
  <si>
    <t>0502034111</t>
  </si>
  <si>
    <t>Vybúranie konštrukcií a demontáže, inštalačného vedenia a príslušenstva stožiarov osvetlenia - komplet</t>
  </si>
  <si>
    <t xml:space="preserve"> - demontáž stožiara s vyložením</t>
  </si>
  <si>
    <t xml:space="preserve"> - demontáž návestidla 1 svetlové na stožiar </t>
  </si>
  <si>
    <t xml:space="preserve"> - demontáž návestidlo 1 svetlové na výložník </t>
  </si>
  <si>
    <t xml:space="preserve"> - demontáž návestidlo 3 svetlové na stožiar </t>
  </si>
  <si>
    <t xml:space="preserve"> - demontáž návestidlo 3 svetlové na výložník</t>
  </si>
  <si>
    <t>Vedenia nadzemné - stožiare, jednoduché oceľové</t>
  </si>
  <si>
    <t xml:space="preserve"> - stožiar SOV-72P-Z s (exist.) svorkovnicou</t>
  </si>
  <si>
    <t xml:space="preserve"> - výložník na stožiar (exist.)</t>
  </si>
  <si>
    <t xml:space="preserve"> - označenie stožiara signalizácie</t>
  </si>
  <si>
    <t>Vedenia vonkajšie, káblové (miestne siete) - káble miestne ovládacie ulož. na stožiari, príchytkami</t>
  </si>
  <si>
    <t xml:space="preserve"> - kábel CMSM 5x1,5</t>
  </si>
  <si>
    <t xml:space="preserve"> - ukončenie návestných káblov do 5x1,5</t>
  </si>
  <si>
    <t xml:space="preserve"> - ukončenie návestných káblov do 19x1,5</t>
  </si>
  <si>
    <t xml:space="preserve"> - kábel CYKY-J 3x1,5 (exist.)</t>
  </si>
  <si>
    <t xml:space="preserve"> - kábel CYKY-J 19x1,5 (exist.)</t>
  </si>
  <si>
    <t xml:space="preserve"> - zatiahnutie káblov do stožiarov</t>
  </si>
  <si>
    <t xml:space="preserve"> - meranie zem. odporu (ukoľajneného) stožiara signalizácie</t>
  </si>
  <si>
    <t>92110114</t>
  </si>
  <si>
    <t>Zariadenia železničné zabezpečovacie - signalizačné zariadenia pre cestné križovatky</t>
  </si>
  <si>
    <t>9211011401</t>
  </si>
  <si>
    <t>Zariadenia železničné zabezpečovacie - signalizačné zariadenia pre cestné križovatky, návestidlá na stožiaroch</t>
  </si>
  <si>
    <t xml:space="preserve"> - návestidlo 1 svetlové na stožiar (exist.) </t>
  </si>
  <si>
    <t xml:space="preserve"> - návestidlo 1 svetlové na výložník (exist.) </t>
  </si>
  <si>
    <t xml:space="preserve"> - návestidlo 3 svetlové na stožiar (exist.) </t>
  </si>
  <si>
    <t xml:space="preserve"> - návestidlo 3 svetlové na výložník (exist.) </t>
  </si>
  <si>
    <t>92110115</t>
  </si>
  <si>
    <t>Zariadenia železničné zabezpečovacie - regulácia a skúšanie zabezpečovacích zariadení</t>
  </si>
  <si>
    <t>9211011501</t>
  </si>
  <si>
    <t>Zariadenia železničné zabezpečovacie - regulácia a skúšanie zabezpečovacích zariadení, regulácia signálnej skupiny</t>
  </si>
  <si>
    <t xml:space="preserve"> - regulácia signálnych skupín</t>
  </si>
  <si>
    <t xml:space="preserve"> - komplexné vyškúsanie celého súboru riadenia </t>
  </si>
  <si>
    <t>Križ.č. 490 Úprava CDS Mlynská dolina - Valašská</t>
  </si>
  <si>
    <t>672 Križ.č. 417 Modernizácia CDS Mlynská dolina - Pri Habánskom mlyne</t>
  </si>
  <si>
    <t xml:space="preserve"> - demontáž kábel RCBKEY</t>
  </si>
  <si>
    <t xml:space="preserve"> - demontáž kábel CYKY 3C/5Cx1,5</t>
  </si>
  <si>
    <t xml:space="preserve"> - demontáž kábel CYKY 7C/12Cx1,5</t>
  </si>
  <si>
    <t xml:space="preserve"> - demontáž kábel CYKY 19Cx1,5</t>
  </si>
  <si>
    <t xml:space="preserve"> - demontáž kábel CYKY 24Cx1,5</t>
  </si>
  <si>
    <t xml:space="preserve"> - demontáž kábel CMSM 3x1,5</t>
  </si>
  <si>
    <t xml:space="preserve"> - demontáž kábel CMSM 10x1,5</t>
  </si>
  <si>
    <t xml:space="preserve"> - demontáž spojenia páskových zemničov</t>
  </si>
  <si>
    <t xml:space="preserve"> - demontáž uzemnenia radiča</t>
  </si>
  <si>
    <t xml:space="preserve"> - demontáž ukončenia RCBKEY</t>
  </si>
  <si>
    <t xml:space="preserve"> - demontáž ukončenia napájacieho kábla radiča</t>
  </si>
  <si>
    <t xml:space="preserve"> - demontáž ukončenia návestných káblov do 7x1,5</t>
  </si>
  <si>
    <t xml:space="preserve"> - demontáž ukončenia návestných káblov do 12x1,5</t>
  </si>
  <si>
    <t xml:space="preserve"> - demontáž ukončenia návestných káblov do 24x1,5</t>
  </si>
  <si>
    <t xml:space="preserve"> - demontáž šachtičky IS</t>
  </si>
  <si>
    <t xml:space="preserve"> - demontáž radiča</t>
  </si>
  <si>
    <t xml:space="preserve"> - demontáž pružný výstražný maják plastový</t>
  </si>
  <si>
    <t xml:space="preserve"> - demontáž stožiara priameho</t>
  </si>
  <si>
    <t xml:space="preserve"> - demontáž návestidla 2 svetlového na stožiar</t>
  </si>
  <si>
    <t xml:space="preserve"> - demontáž návestidlo pre E-MHD</t>
  </si>
  <si>
    <t xml:space="preserve"> - demontáž tlačidla pre chodca</t>
  </si>
  <si>
    <t xml:space="preserve"> - odvoz odpadu správcovi</t>
  </si>
  <si>
    <t xml:space="preserve"> - štartovacia jama pre mikrotunelovanie, 1,2*2=</t>
  </si>
  <si>
    <t xml:space="preserve"> - jama pre stožiar výložníkový, (1,5*1,5*1,5)*3=</t>
  </si>
  <si>
    <t xml:space="preserve"> - jama pre stožiar priamy (tzv. sadový), (0,8*0,7*0,7)*5=</t>
  </si>
  <si>
    <t xml:space="preserve"> - jama pre základ radiča, 1,5*0,55*0,5=</t>
  </si>
  <si>
    <t xml:space="preserve"> - káblová ryha 350/500, 32*0,35*0,19 =</t>
  </si>
  <si>
    <t xml:space="preserve"> - káblová ryha 350/800, 7*0,35*0,65 =</t>
  </si>
  <si>
    <t xml:space="preserve"> - káblová ryha 650/1200, 10*0,65*0,65 =</t>
  </si>
  <si>
    <t xml:space="preserve"> - káblová ryha 350/500, 32*0,35*0,09 =</t>
  </si>
  <si>
    <t xml:space="preserve"> - káblová ryha 350/800, 7*0,35*0,55 =</t>
  </si>
  <si>
    <t xml:space="preserve"> - káblová ryha 650/1200, 10*0,65*0,35 =</t>
  </si>
  <si>
    <t xml:space="preserve"> - lôžko z preosiatej zeminy, (32+7)*0,35*0,1 =</t>
  </si>
  <si>
    <t xml:space="preserve"> - prebytočná zemina a kamenivo na skládku odpadu, (14,9+7,95+(3,14*(0,08*0,08)*24)-7,03-1,37)=</t>
  </si>
  <si>
    <t xml:space="preserve"> - riadené mikrotunelovanie DN 160</t>
  </si>
  <si>
    <t xml:space="preserve"> - stožiar výložníkový, (1,5*1,5*1,5)*3=</t>
  </si>
  <si>
    <t xml:space="preserve"> - stožiar priamy (tzv. sadový), (0,8*0,7*0,7)*5=</t>
  </si>
  <si>
    <t xml:space="preserve"> - základ radiča, 1,5*0,55*0,5=</t>
  </si>
  <si>
    <t xml:space="preserve"> - stožiar výložníkový, (1,5*1,5)*3=</t>
  </si>
  <si>
    <t xml:space="preserve"> - stožiar priamy (tzv. sadový), (0,8*0,7)*5=</t>
  </si>
  <si>
    <t xml:space="preserve"> - základ radiča, 1,5*0,5=</t>
  </si>
  <si>
    <t xml:space="preserve"> - káblová ryha v komunikácii, (10*0,65*0,3)-(3,14*(0,05*0,05)*10) =</t>
  </si>
  <si>
    <t xml:space="preserve"> - káblová ryha chodník/zeleň, FXKVR 110, (32+7)*2 =</t>
  </si>
  <si>
    <t xml:space="preserve"> - káblová ryha v komunikácii, FXKVS 160, 10*1 =</t>
  </si>
  <si>
    <t xml:space="preserve"> - stožiar SKS 33P (RAL 7016) so základovým roštom a svorkovnicou</t>
  </si>
  <si>
    <t xml:space="preserve"> - stožiar STO12/89P (RAL 7016) so základovým roštom a svorkovnicou</t>
  </si>
  <si>
    <t xml:space="preserve"> - stožiar SOV-72P-Z (RAL 7016) so základovým roštom a svorkovnicou</t>
  </si>
  <si>
    <t xml:space="preserve"> - výložník na stožiar VSK-4 (RAL 7016)</t>
  </si>
  <si>
    <t xml:space="preserve"> - výložník na stožiar VSK-6 (RAL 7016)</t>
  </si>
  <si>
    <t xml:space="preserve"> - výložník na stožiar VSK-9 (RAL 7016)</t>
  </si>
  <si>
    <t xml:space="preserve"> - označenie stožiarov signalizácie</t>
  </si>
  <si>
    <t xml:space="preserve"> - kábel CYKY-J 12x1,5</t>
  </si>
  <si>
    <t xml:space="preserve"> - kábel CYKY-J 19x1,5</t>
  </si>
  <si>
    <t xml:space="preserve"> - kábel CYKY-J 24x1,5</t>
  </si>
  <si>
    <t xml:space="preserve"> - kábel CMSM 3x1,5</t>
  </si>
  <si>
    <t xml:space="preserve"> - kábel CMSM 10x1,5</t>
  </si>
  <si>
    <t xml:space="preserve"> - ukončenie napájacieho kábla v radiči</t>
  </si>
  <si>
    <t xml:space="preserve"> - ukončenie návestných káblov do 12x1,5</t>
  </si>
  <si>
    <t xml:space="preserve"> - ukončenie návestných káblov do 24x1,5</t>
  </si>
  <si>
    <t xml:space="preserve"> - ukončenie FTP</t>
  </si>
  <si>
    <t xml:space="preserve"> - kábel FTP na bubne</t>
  </si>
  <si>
    <t xml:space="preserve"> - kábel CYKY-J 12x1,5 na bubne</t>
  </si>
  <si>
    <t xml:space="preserve"> - kábel CYKY-J 19x1,5 na bubne</t>
  </si>
  <si>
    <t xml:space="preserve"> - kábel CYKY-J 24x1,5 na bubne</t>
  </si>
  <si>
    <t xml:space="preserve"> - zatiahnutie káblov do stožiarov a skríň</t>
  </si>
  <si>
    <t xml:space="preserve"> - štítok na kábel FTP</t>
  </si>
  <si>
    <t xml:space="preserve"> - štítok na kábel CYKY-J 12x1,5</t>
  </si>
  <si>
    <t xml:space="preserve"> - štítok na kábel CYKY-J 19x1,5</t>
  </si>
  <si>
    <t xml:space="preserve"> - štítok na kábel CYKY-J 24x1,5</t>
  </si>
  <si>
    <t xml:space="preserve"> - meranie zem. odporu </t>
  </si>
  <si>
    <t>Vedenia vonkajšie, káblové (miestne siete) - vedenia uzemňovacie v zemi FeZn, uzemňovací pás do 120 mm2</t>
  </si>
  <si>
    <t xml:space="preserve"> - uzemňovacie vedenie </t>
  </si>
  <si>
    <t>Slaboprúdové zariadenia - zabezpečovacie a strážiace snímače</t>
  </si>
  <si>
    <t>Slaboprúdové zariadenia - zabezpečovacie a strážiace snímače pohybu</t>
  </si>
  <si>
    <t xml:space="preserve"> - tlačidlo pre chodca</t>
  </si>
  <si>
    <t>Slaboprúdové zariadenia - zabezpečovacie a strážiace snímače sčítače dopravy</t>
  </si>
  <si>
    <t xml:space="preserve"> - kamerový detektor </t>
  </si>
  <si>
    <t xml:space="preserve"> - návestidlo 1 svetlové na stožiar</t>
  </si>
  <si>
    <t xml:space="preserve"> - návestidlo 3 svetlové na stožiar chodecké s odpočtom</t>
  </si>
  <si>
    <t xml:space="preserve"> - návestidlo 3 svetlové na stožiar  dopravné</t>
  </si>
  <si>
    <t xml:space="preserve"> - návestidlo 3 svetlové na výložník dopravné s kontrastným štítom a konzolou</t>
  </si>
  <si>
    <t xml:space="preserve"> - návestidlo pre E-MHD na stožiar</t>
  </si>
  <si>
    <t>9211011406</t>
  </si>
  <si>
    <t>Zariadenia železničné zabezpečovacie -signalizačné zariadenia pre cestné križovatky, radiče</t>
  </si>
  <si>
    <t xml:space="preserve"> - radič CDS (komplet s pripojením na opt. sieť) + opláštenie</t>
  </si>
  <si>
    <t>Križ.č. 417 Modernizácia CDS Mlynská dolina - Pri Habánskom mlyne</t>
  </si>
  <si>
    <t>673 Križ.č. 4121 Modernizácia CDS Mlynská dolina - Staré grunty</t>
  </si>
  <si>
    <t xml:space="preserve"> - jama pre stožiar priamy (tzv. sadový), (0,8*0,7*0,7)*3=</t>
  </si>
  <si>
    <t xml:space="preserve"> - káblová ryha 350/500, 50*0,35*0,19 =</t>
  </si>
  <si>
    <t xml:space="preserve"> - káblová ryha 650/1200, 15*0,65*0,65 =</t>
  </si>
  <si>
    <t xml:space="preserve"> - káblová ryha 350/500, 50*0,35*0,09 =</t>
  </si>
  <si>
    <t xml:space="preserve"> - káblová ryha 650/1200, 15*0,65*0,35 =</t>
  </si>
  <si>
    <t xml:space="preserve"> - lôžko z preosiatej zeminy, (50+7)*0,35*0,1 =</t>
  </si>
  <si>
    <t xml:space="preserve"> - prebytočná zemina a kamenivo na skládku odpadu, (14,11+11,26+(3,14*(0,08*0,08)*26)-8,74-2,00)=</t>
  </si>
  <si>
    <t xml:space="preserve"> - riadené mikrotunelovanie DN 160, 13*2 =</t>
  </si>
  <si>
    <t xml:space="preserve"> - stožiar priamy (tzv. sadový), (0,8*0,7*0,7)*3=</t>
  </si>
  <si>
    <t xml:space="preserve"> - stožiar priamy (tzv. sadový), (0,8*0,7)*3=</t>
  </si>
  <si>
    <t xml:space="preserve"> - káblová ryha v komunikácii, (15*0,65*0,3)-((3,14*(0,05*0,05)*15)*3) =</t>
  </si>
  <si>
    <t xml:space="preserve"> - káblová ryha chodník/zeleň, FXKVR 110, (50+7)*2 =</t>
  </si>
  <si>
    <t xml:space="preserve"> - káblová ryha v komunikácii, FXKVS 160, 15*3 =</t>
  </si>
  <si>
    <t xml:space="preserve"> - stožiar SOV P (RAL 7016) so základovým roštom a svorkovnicou</t>
  </si>
  <si>
    <t xml:space="preserve"> - výložník na stožiar VSK-5 (RAL 7016)</t>
  </si>
  <si>
    <t>Križ.č. 4121 Modernizácia CDS Mlynská dolina - Staré grunty</t>
  </si>
  <si>
    <t>674 Križ.č. 4122 Modernizácia CDS Mlynská dolina - Slávičie údolie</t>
  </si>
  <si>
    <t xml:space="preserve"> - štartovacia jama pre mikrotunelovanie, 1,2*4=</t>
  </si>
  <si>
    <t xml:space="preserve"> - jama pre stožiar priamy (tzv. sadový), (0,8*0,7*0,7)*4=</t>
  </si>
  <si>
    <t xml:space="preserve"> - káblová ryha 350/500, 30*0,35*0,19 =</t>
  </si>
  <si>
    <t xml:space="preserve"> - káblová ryha 650/1200, 17*0,65*0,65 =</t>
  </si>
  <si>
    <t xml:space="preserve"> - káblová ryha 350/500, 30*0,35*0,09 =</t>
  </si>
  <si>
    <t xml:space="preserve"> - káblová ryha 650/1200, 17*0,65*0,35 =</t>
  </si>
  <si>
    <t xml:space="preserve"> - lôžko z preosiatej zeminy, 30*0,35*0,1 =</t>
  </si>
  <si>
    <t xml:space="preserve"> - prebytočná zemina a kamenivo na skládku odpadu, (16,91+9,18+(3,14*(0,08*0,08)*75)-9,61-1,05)=</t>
  </si>
  <si>
    <t xml:space="preserve"> - riadené mikrotunelovanie DN 160, 3*(15+10) =</t>
  </si>
  <si>
    <t xml:space="preserve"> - stožiar priamy (tzv. sadový), (0,8*0,7*0,7)*4=</t>
  </si>
  <si>
    <t xml:space="preserve"> - stožiar priamy (tzv. sadový), (0,8*0,7)*4=</t>
  </si>
  <si>
    <t xml:space="preserve"> - káblová ryha v komunikácii, (17*0,65*0,3)-(3,14*(0,05*0,05)*17) =</t>
  </si>
  <si>
    <t xml:space="preserve"> - káblová ryha chodník/zeleň, FXKVR 110, 30*2 =</t>
  </si>
  <si>
    <t xml:space="preserve"> - káblová ryha v komunikácii, FXKVS 160, (11+6)*3 =</t>
  </si>
  <si>
    <t xml:space="preserve"> - výložník na stožiar VSK-7 (RAL 7016)</t>
  </si>
  <si>
    <t xml:space="preserve"> - kábel CYKY-J 7x1,5</t>
  </si>
  <si>
    <t xml:space="preserve"> - ukončenie návestných káblov do 7x1,5</t>
  </si>
  <si>
    <t xml:space="preserve"> - kábel CYKY-J 7x1,5 na bubne</t>
  </si>
  <si>
    <t xml:space="preserve"> - štítok na kábel CYKY-J 7x1,5</t>
  </si>
  <si>
    <t>Križ.č. 4122 Modernizácia CDS Mlynská dolina - Slávičie údolie</t>
  </si>
  <si>
    <t>676 Križ.č. 441 Úprava CDS Mlynská dolina - Most Lanfranconi</t>
  </si>
  <si>
    <t xml:space="preserve"> - demontáž kábel CMSM 7x1,5</t>
  </si>
  <si>
    <t xml:space="preserve"> - demontáž kamerový detektor</t>
  </si>
  <si>
    <t xml:space="preserve"> - jama pre stožiar výložníkový, 1,5*1,5*1,5=</t>
  </si>
  <si>
    <t xml:space="preserve"> - prebytočná zemina a kamenivo na skládku odpadu, 1,5*1,5*1,5=</t>
  </si>
  <si>
    <t xml:space="preserve"> - stožiar výložníkový, 1,5*1,5*1,5=</t>
  </si>
  <si>
    <t xml:space="preserve"> - stožiar výložníkový, 1,5*1,5=</t>
  </si>
  <si>
    <t xml:space="preserve"> - stožiar SOV-72P-Z (RAL 7035) so základovým roštom a svorkovnicou</t>
  </si>
  <si>
    <t xml:space="preserve"> - kábel CMSM 7x1,5</t>
  </si>
  <si>
    <t xml:space="preserve"> - tlačidlo pre chodca (exist.)</t>
  </si>
  <si>
    <t xml:space="preserve"> - kamerový detektor  (exist.)</t>
  </si>
  <si>
    <t xml:space="preserve"> - návestidlo 2 svetlové na stožiar (exist.)</t>
  </si>
  <si>
    <t xml:space="preserve"> - návestidlo 3 svetlové na stožiar  dopravné (exist.)</t>
  </si>
  <si>
    <t xml:space="preserve"> - návestidlo 3 svetlové na výložník dopravné s konzolou (exist.)</t>
  </si>
  <si>
    <t xml:space="preserve"> - návestidlo pre E-MHD (exist.)</t>
  </si>
  <si>
    <t>Križ.č. 441 Úprava CDS Mlynská dolina - Most Lanfranconi</t>
  </si>
  <si>
    <t>677 Križ.č. 442 Úprava CDS Botanická - Internát Družba</t>
  </si>
  <si>
    <t xml:space="preserve"> - jama pre stožiar výložníkový, (1,5*1,5*1,5)*4=</t>
  </si>
  <si>
    <t xml:space="preserve"> - prebytočná zemina a kamenivo na skládku odpadu, (1,5*1,5*1,5)*4=</t>
  </si>
  <si>
    <t xml:space="preserve"> - stožiar výložníkový, (1,5*1,5*1,5)*4=</t>
  </si>
  <si>
    <t xml:space="preserve"> - stožiar výložníkový, (1,5*1,5)*4=</t>
  </si>
  <si>
    <t xml:space="preserve"> - výložník na stožiar VSK-6 (RAL 7035)</t>
  </si>
  <si>
    <t xml:space="preserve"> - kábel CYKY-O 3x2,5</t>
  </si>
  <si>
    <t xml:space="preserve"> - štítok na kábel</t>
  </si>
  <si>
    <t>Križ.č. 442 Úprava CDS Botanická - Internát Družba</t>
  </si>
  <si>
    <t>678 Križ.č. 443 Úprava CDS Karloveská - Riviéra</t>
  </si>
  <si>
    <t xml:space="preserve"> - jama pre stožiar výložníkový, (1,5*1,5*1,5)*2=</t>
  </si>
  <si>
    <t xml:space="preserve"> - prebytočná zemina a kamenivo na skládku odpadu, (1,5*1,5*1,5)*2=</t>
  </si>
  <si>
    <t xml:space="preserve"> - stožiar výložníkový, (1,5*1,5*1,5)*2=</t>
  </si>
  <si>
    <t xml:space="preserve"> - stožiar výložníkový, (1,5*1,5)*2=</t>
  </si>
  <si>
    <t>Križ.č. 443 Úprava CDS Karloveská - Riviéra</t>
  </si>
  <si>
    <t>682 Ochranné opatrenia prvkov CDS v zóne TV a ZP v K417</t>
  </si>
  <si>
    <t xml:space="preserve"> - opakovateľná prierazka </t>
  </si>
  <si>
    <t xml:space="preserve"> - svorka T-BUS</t>
  </si>
  <si>
    <t xml:space="preserve"> - oko káblové lisovacie</t>
  </si>
  <si>
    <t>Vedenia vonkajšie, káblové (miestne siete) - vedenia uzemňovacie v zemi FeZn, uzemňovací drôt do 120 mm2</t>
  </si>
  <si>
    <t xml:space="preserve"> - uzemňovací vodič so svorkami</t>
  </si>
  <si>
    <t xml:space="preserve"> - zemniaca tyč </t>
  </si>
  <si>
    <t>Vedenia vonkajšie, káblové (miestne siete) - vedenia uzemňovacie na povrchu Cu</t>
  </si>
  <si>
    <t>Vedenia vonkajšie, káblové (miestne siete) - vedenia uzemňovacie na povrchu Cu uzemňovací drôt do 120 mm2</t>
  </si>
  <si>
    <t xml:space="preserve"> - kábel Cu 1kV : 1-CHBU 1x50</t>
  </si>
  <si>
    <t>Ochranné opatrenia prvkov CDS v zóne TV a ZP v K417</t>
  </si>
  <si>
    <t>683 Ochranné opatrenia prvkov CDS v zóne TV a ZP v K4121</t>
  </si>
  <si>
    <t>Ochranné opatrenia prvkov CDS v zóne TV a ZP v K4121</t>
  </si>
  <si>
    <t>684 Ochranné opatrenia prvkov CDS v zóne TV a ZP v K4122</t>
  </si>
  <si>
    <t>Ochranné opatrenia prvkov CDS v zóne TV a ZP v K4122</t>
  </si>
  <si>
    <t>685 Úprava ochranných opatrení prvkov CDS v zóne TV a ZP v K662</t>
  </si>
  <si>
    <t xml:space="preserve"> - káblová ryha 350/500, 12*0,35*0,19 =</t>
  </si>
  <si>
    <t>Úprava ochranných opatrení prvkov CDS v zóne TV a ZP v K662</t>
  </si>
  <si>
    <t>687 Úprava ochranných opatrení prvkov CDS v zóne TV a ZP v K442</t>
  </si>
  <si>
    <t xml:space="preserve"> - káblová ryha 350/500, 10*0,35*0,19 =</t>
  </si>
  <si>
    <t xml:space="preserve"> - káblová ryha 500/1200, 8*0,5*0,65 =</t>
  </si>
  <si>
    <t xml:space="preserve"> - káblová ryha 500/1200, 8*0,5*0,35 =</t>
  </si>
  <si>
    <t xml:space="preserve"> - prebytočná zemina a kamenivo na skládku odpadu, 3,27-2,07=</t>
  </si>
  <si>
    <t xml:space="preserve"> - káblová ryha v komunikácii, (8*0,5*0,3)-(3,14*(0,05*0,05)*8) =</t>
  </si>
  <si>
    <t xml:space="preserve"> - káblová ryha v komunikácii, FXKVS 110, 8*1 =</t>
  </si>
  <si>
    <t>Úprava ochranných opatrení prvkov CDS v zóne TV a ZP v K442</t>
  </si>
  <si>
    <t>688 Úprava ochranných opatrení prvkov CDS v zóne TV a ZP v K443</t>
  </si>
  <si>
    <t xml:space="preserve"> - káblová ryha 350/800, 6*0,35*0,65 =</t>
  </si>
  <si>
    <t>Úprava ochranných opatrení prvkov CDS v zóne TV a ZP v K443</t>
  </si>
  <si>
    <t>801 Náhradná výsadba v k.ú. Staré mesto</t>
  </si>
  <si>
    <t>!!! Založenie trávnika spolu s jeho ošetrením t.j. pravidelné kosenie (dva roky - spolu 6x), zalievanie, hnojenie a vyhrabávanie trávnika je náležitosťou cestných objektov!!!</t>
  </si>
  <si>
    <t>01080505</t>
  </si>
  <si>
    <t>Povrchové úpravy terénu, úpravy povrchov mulčovaním</t>
  </si>
  <si>
    <t>0108050501</t>
  </si>
  <si>
    <t>Povrchové úpravy terénu, úpravy povrchov mulčovaním na rovine</t>
  </si>
  <si>
    <t>muč. plachty s mulčom (drvená kôra ihličnatých drevín) hr. 0,1m - mulč - 0,79m3:</t>
  </si>
  <si>
    <t>listnaté stromy:     0,75*0,75*14</t>
  </si>
  <si>
    <t>01080603</t>
  </si>
  <si>
    <t>Povrchové úpravy terénu, úpravy pred výsadbou, obrobenie pôdy</t>
  </si>
  <si>
    <t>0108060312</t>
  </si>
  <si>
    <t>Povrchové úpravy terénu, úpravy pred výsadbou, obrobenie pôdy hnojením</t>
  </si>
  <si>
    <t>rašelinovým substrátom (10*14=140 litrov)</t>
  </si>
  <si>
    <t>listnaté stromy:  10l/1ks              0,25*14</t>
  </si>
  <si>
    <t>anorganické tabletové hnojivo:  (celkom 14*2 ks/10g - 28 ks; 0,28 kg)</t>
  </si>
  <si>
    <t>listnaté stromy:   2ks/ks             0,25*14</t>
  </si>
  <si>
    <t>pôdnym kondicinérom:  (celkom 0,2*14=2,80 kg)</t>
  </si>
  <si>
    <t>listnaté stromy:   200g/ks           0,25*14</t>
  </si>
  <si>
    <t>01080803</t>
  </si>
  <si>
    <t>Povrchové úpravy terénu, sadenie, presádzanie, ošetrovanie, ochrana stromov s balom</t>
  </si>
  <si>
    <t>0108080301</t>
  </si>
  <si>
    <t>Povrchové úpravy terénu, sadenie, presádzanie, ošetrovanie, ochrana stromov s balom v rovine</t>
  </si>
  <si>
    <t>listnaté stromy</t>
  </si>
  <si>
    <t>01080805</t>
  </si>
  <si>
    <t>Povrchové úpravy terénu, sadenie, presádzanie, ošetrovanie, ochrana ošetrenie drevín</t>
  </si>
  <si>
    <t>0108080501</t>
  </si>
  <si>
    <t>Povrchové úpravy terénu, sadenie, presádzanie, ošetrovanie, ochrana ošetrenie drevín v rovine</t>
  </si>
  <si>
    <t>polievanie: 7700 litrov vody</t>
  </si>
  <si>
    <t>listnaté stromy:   14*11</t>
  </si>
  <si>
    <t>ošetrenie listnatých stromov: s odburinením a kosením 1 m2, zo zostrihnutia uschnutých, omrznutých konárikov, z výchovného rezu vysadených drevín a prípadného postreku proti škodcom a hubám, odstraňovania odumretých častí a prípadnej dosadby uhynutých jedincov  (2 roky 2x ročne):</t>
  </si>
  <si>
    <t>listnaté a ihličnaté stromy:   14*4 (ošetrenie 2 roky 2x ročne)</t>
  </si>
  <si>
    <t>01080806</t>
  </si>
  <si>
    <t>Povrchové úpravy terénu, sadenie, presádzanie, ošetrovanie, ochrana ochrana stromov</t>
  </si>
  <si>
    <t>0108080601</t>
  </si>
  <si>
    <t>Povrchové úpravy terénu, sadenie, presádzanie, ošetrovanie, ochrana ochrana stromov v rovine</t>
  </si>
  <si>
    <t>stromy stabilizujeme o konštrukciu  pre listnaté stromy 3 ks kolov/strom=14*3=42ks v=3,5m s hornými drevenými latami 3 ks/1 strom dĺžky L=1 m, priviazané pomocou popruhov z nenasiakavého materiálu - úväzky 3,5m/strom=14*3,5=49 m, v mieste uviazania ochrana kmeňa jutou 0,5m, šírka 0,1m/strom x 2=14*0,5*2=14 m</t>
  </si>
  <si>
    <t>01030601</t>
  </si>
  <si>
    <t>Hĺbené vykopávky jamiek, rýh, pre vysadzovanie rastlín v rovine</t>
  </si>
  <si>
    <t>0103060107</t>
  </si>
  <si>
    <t>Hĺbené vykopávky jamiek, rýh, pre vysadzovanie rastlín v rovine, tr. horniny 1-4</t>
  </si>
  <si>
    <t>listnaté stromy - vyhĺbenie jamiek 0,125m3/strom=0,125m3*14ks=1,75 m3</t>
  </si>
  <si>
    <t>dovoz nakupovaného záhradníckeho substrátu aj s naložením pre stromy so zasypaním:</t>
  </si>
  <si>
    <t>listnaté a ihličnaté stromy: 20l/strom: 0,02m3*14ks</t>
  </si>
  <si>
    <t>Náhradná výsadba v k.ú. Staré mesto</t>
  </si>
  <si>
    <t>Križ.č. 662 Úprava CDS Nábr. arm. gen. Svobodu - Ml. dolina - Most Lanfranconi</t>
  </si>
  <si>
    <t>Úprava ochranných opatrení prvkov CDS v zóne TV a ZP v K490</t>
  </si>
  <si>
    <t>Úprava ochranných opatrení prvkov CDS v zóne TV a ZP v K441</t>
  </si>
  <si>
    <t>675 Križ.č. 662 Úprava CDS Nábr. arm. gen. Svobodu - Ml. dolina - Most Lanfranconi</t>
  </si>
  <si>
    <t>681 Úprava ochranných opatrení prvkov CDS v zóne TV a ZP v K490</t>
  </si>
  <si>
    <t>686 Úprava ochranných opatrení prvkov CDS v zóne TV a ZP v K441</t>
  </si>
  <si>
    <t>Stavebné objekt bez výkazu výmer</t>
  </si>
  <si>
    <t>vrátane štiepkovania konárov stromov pre všetky druhy
(na materiálové a energetické zhodnotenie)</t>
  </si>
  <si>
    <t>frézovanie odstraňovaných pňov</t>
  </si>
  <si>
    <t>spevnenie svahu - dlažba z lomového kameňa DLK hr. 100 mm, zálievka bet. malta: 42,00*0,1</t>
  </si>
  <si>
    <t>3.7</t>
  </si>
  <si>
    <t>vyrovnanie ornice zo všetkých SO: 1073,33-1040,47</t>
  </si>
  <si>
    <t>zahumusovanie hr. 254 mm</t>
  </si>
  <si>
    <t>Revízia 1</t>
  </si>
  <si>
    <t>05090364</t>
  </si>
  <si>
    <t>Doplňujúce práce, odstránenie vodorovného dopravného značenia bitúmenového krytu</t>
  </si>
  <si>
    <t>05090363</t>
  </si>
  <si>
    <t>Doplňujúce práce, odstránenie vodorovného dopravného značenia betónového krytu</t>
  </si>
  <si>
    <t>0509036304</t>
  </si>
  <si>
    <t>Doplňujúce práce, odstránenie vodorovného dopravného značenia betónového krytu vodným lúčom</t>
  </si>
  <si>
    <t>odstránenie trvalého vodorovného dopravného značenia na betónovom kryte vozovky vodným lúčom</t>
  </si>
  <si>
    <t>odstránenie trvalého vodorovného dopravného značenia na asfaltovom kryte vozovky vodným lúčom</t>
  </si>
  <si>
    <t>odstránenie trvalého vodorovného dopravného značenia na betónovom kryte vozovky vodným lúčom: 118,00 m2*0,004 t/m2</t>
  </si>
  <si>
    <t>odstránenie trvalého vodorovného dopravného značenia na asfaltovom kryte vozovky vodným lúčom: 97,00 m2*0,004 t/m2</t>
  </si>
  <si>
    <t>0509036404</t>
  </si>
  <si>
    <t>Doplňujúce práce, odstránenie vodorovného dopravného značenia bitúmenového krytu vodným lúčom</t>
  </si>
  <si>
    <t>odstránenie trvalého vodorovného dopravného značenia na betónovom kryte vozovky vodným lúčom: 33,00 m2*0,004 t/m2</t>
  </si>
  <si>
    <t>odstránenie trvalého vodorovného dopravného značenia na asfaltovom kryte vozovky vodným lúčom: 37,00 m2*0,004 t/m2</t>
  </si>
  <si>
    <t>odstránenie trvalého vodorovného dopravného značenia na asfaltovom kryte vozovky vodným lúčom: 20,00 m2*0,004 t/m2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</si>
</sst>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0000000"/>
    <numFmt numFmtId="165" formatCode="0000000000"/>
    <numFmt numFmtId="166" formatCode="_-* #,##0.00\ _€_-;\-* #,##0.00\ _€_-;_-* &quot;-&quot;??\ _€_-;_-@_-"/>
    <numFmt numFmtId="167" formatCode="#,##0.00_ ;\-#,##0.00\ "/>
    <numFmt numFmtId="168" formatCode="0.0"/>
    <numFmt numFmtId="169" formatCode="#"/>
    <numFmt numFmtId="170" formatCode="0.0000000"/>
    <numFmt numFmtId="171" formatCode="#,##0.0"/>
  </numFmts>
  <fonts count="113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Helv"/>
    </font>
    <font>
      <sz val="10"/>
      <color indexed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1"/>
      <color theme="1"/>
      <name val="Aptos Narrow"/>
      <family val="2"/>
      <scheme val="minor"/>
    </font>
    <font>
      <b/>
      <sz val="10"/>
      <color theme="1"/>
      <name val="Helv"/>
    </font>
    <font>
      <sz val="11"/>
      <name val="Calibri"/>
      <family val="2"/>
    </font>
    <font>
      <i/>
      <u/>
      <sz val="10"/>
      <name val="Arial CE"/>
      <family val="2"/>
      <charset val="238"/>
    </font>
    <font>
      <b/>
      <sz val="10"/>
      <color theme="1"/>
      <name val="Arial CE"/>
      <family val="2"/>
      <charset val="238"/>
    </font>
    <font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theme="1"/>
      <name val="Arial CE"/>
      <family val="2"/>
      <charset val="238"/>
    </font>
    <font>
      <sz val="11"/>
      <name val="Aptos Narrow"/>
      <family val="2"/>
      <charset val="238"/>
      <scheme val="minor"/>
    </font>
    <font>
      <i/>
      <u/>
      <sz val="10"/>
      <color theme="1"/>
      <name val="Arial CE"/>
      <family val="2"/>
      <charset val="238"/>
    </font>
    <font>
      <i/>
      <u/>
      <sz val="10"/>
      <name val="Arial"/>
      <family val="2"/>
      <charset val="238"/>
    </font>
    <font>
      <i/>
      <u val="singleAccounting"/>
      <sz val="10"/>
      <name val="Arial CE"/>
      <family val="2"/>
      <charset val="238"/>
    </font>
    <font>
      <sz val="10"/>
      <name val="Arial"/>
      <family val="2"/>
    </font>
    <font>
      <b/>
      <i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FF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1"/>
      <color rgb="FFFF0000"/>
      <name val="Aptos Narrow"/>
      <family val="2"/>
      <scheme val="minor"/>
    </font>
    <font>
      <sz val="10"/>
      <color rgb="FFFF0000"/>
      <name val="Arial CE"/>
      <family val="2"/>
      <charset val="238"/>
    </font>
    <font>
      <i/>
      <sz val="10"/>
      <name val="Symbol"/>
      <family val="1"/>
      <charset val="2"/>
    </font>
    <font>
      <sz val="11"/>
      <color indexed="8"/>
      <name val="Calibri"/>
      <family val="2"/>
      <charset val="238"/>
    </font>
    <font>
      <b/>
      <i/>
      <sz val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1"/>
      <color rgb="FFFF0000"/>
      <name val="Aptos Narrow"/>
      <family val="2"/>
      <charset val="238"/>
      <scheme val="minor"/>
    </font>
    <font>
      <i/>
      <sz val="10"/>
      <name val="Arial"/>
      <family val="2"/>
    </font>
    <font>
      <b/>
      <sz val="10"/>
      <name val="Helv"/>
      <charset val="238"/>
    </font>
    <font>
      <i/>
      <sz val="10"/>
      <color rgb="FF000000"/>
      <name val="Arial CE"/>
      <family val="2"/>
      <charset val="238"/>
    </font>
    <font>
      <sz val="10"/>
      <color rgb="FF0000FF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Calibri"/>
      <family val="2"/>
      <charset val="238"/>
    </font>
    <font>
      <i/>
      <sz val="11"/>
      <name val="Aptos Narrow"/>
      <family val="2"/>
      <charset val="238"/>
      <scheme val="minor"/>
    </font>
    <font>
      <i/>
      <sz val="10"/>
      <color rgb="FF0000FF"/>
      <name val="Arial CE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u val="double"/>
      <sz val="10"/>
      <name val="Arial CE"/>
      <family val="2"/>
      <charset val="238"/>
    </font>
    <font>
      <i/>
      <u val="double"/>
      <sz val="10"/>
      <name val="Arial CE"/>
      <family val="2"/>
      <charset val="238"/>
    </font>
    <font>
      <b/>
      <sz val="11"/>
      <name val="Calibri"/>
      <family val="2"/>
      <charset val="238"/>
    </font>
    <font>
      <b/>
      <i/>
      <sz val="9.5"/>
      <name val="Arial"/>
      <family val="2"/>
    </font>
    <font>
      <b/>
      <sz val="10"/>
      <color theme="1"/>
      <name val="Arial"/>
      <family val="2"/>
      <charset val="238"/>
    </font>
    <font>
      <b/>
      <sz val="1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i/>
      <sz val="10"/>
      <color rgb="FFFF0000"/>
      <name val="Arial"/>
      <family val="2"/>
      <charset val="238"/>
    </font>
    <font>
      <i/>
      <u/>
      <sz val="10"/>
      <name val="Arial"/>
      <family val="2"/>
    </font>
    <font>
      <sz val="10"/>
      <color rgb="FF000000"/>
      <name val="Arial CE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 CE"/>
      <family val="2"/>
      <charset val="238"/>
    </font>
    <font>
      <i/>
      <u/>
      <sz val="10"/>
      <color rgb="FF000000"/>
      <name val="Arial CE"/>
      <family val="2"/>
      <charset val="238"/>
    </font>
    <font>
      <b/>
      <sz val="12"/>
      <color rgb="FF0000FF"/>
      <name val="Arial CE"/>
      <family val="2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rgb="FF000000"/>
      <name val="Ariel"/>
      <charset val="238"/>
    </font>
    <font>
      <u/>
      <sz val="11"/>
      <color theme="10"/>
      <name val="Aptos Narrow"/>
      <family val="2"/>
      <charset val="238"/>
      <scheme val="minor"/>
    </font>
    <font>
      <b/>
      <sz val="12"/>
      <color theme="1"/>
      <name val="Arial CE"/>
      <family val="2"/>
      <charset val="238"/>
    </font>
    <font>
      <b/>
      <i/>
      <sz val="14"/>
      <color rgb="FFFF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i/>
      <sz val="12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6"/>
      <color rgb="FFFF0000"/>
      <name val="Aptos Narrow"/>
      <family val="2"/>
      <scheme val="minor"/>
    </font>
    <font>
      <i/>
      <u/>
      <sz val="10"/>
      <color theme="1"/>
      <name val="Arial"/>
      <family val="2"/>
      <charset val="238"/>
    </font>
    <font>
      <b/>
      <i/>
      <sz val="20"/>
      <color rgb="FFFF0000"/>
      <name val="Arial CE"/>
      <family val="2"/>
      <charset val="238"/>
    </font>
    <font>
      <sz val="10"/>
      <color rgb="FF000000"/>
      <name val="Helv"/>
      <charset val="238"/>
    </font>
    <font>
      <sz val="10"/>
      <color rgb="FF0000FF"/>
      <name val="Helv"/>
      <charset val="238"/>
    </font>
    <font>
      <i/>
      <sz val="10"/>
      <color rgb="FF000000"/>
      <name val="Arial"/>
      <family val="2"/>
      <charset val="238"/>
    </font>
    <font>
      <u/>
      <sz val="11"/>
      <color rgb="FF000000"/>
      <name val="Calibri"/>
      <family val="2"/>
      <charset val="238"/>
    </font>
    <font>
      <i/>
      <u/>
      <sz val="10"/>
      <color rgb="FF000000"/>
      <name val="Arial"/>
      <family val="2"/>
      <charset val="238"/>
    </font>
    <font>
      <sz val="8"/>
      <color rgb="FF800080"/>
      <name val="Arial CE"/>
      <family val="2"/>
      <charset val="238"/>
    </font>
    <font>
      <sz val="11"/>
      <color rgb="FF000000"/>
      <name val="Arial CE"/>
      <family val="2"/>
      <charset val="238"/>
    </font>
    <font>
      <b/>
      <sz val="11"/>
      <color rgb="FF000000"/>
      <name val="Arial CE"/>
      <family val="2"/>
      <charset val="238"/>
    </font>
    <font>
      <b/>
      <i/>
      <sz val="10"/>
      <color rgb="FF000000"/>
      <name val="Arial CE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u/>
      <sz val="10"/>
      <color rgb="FFFF0000"/>
      <name val="Arial CE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theme="0" tint="-0.34998626667073579"/>
      <name val="Aptos Narrow"/>
      <family val="2"/>
      <charset val="238"/>
      <scheme val="minor"/>
    </font>
    <font>
      <vertAlign val="superscript"/>
      <sz val="10"/>
      <name val="Arial CE"/>
      <family val="2"/>
      <charset val="238"/>
    </font>
    <font>
      <b/>
      <sz val="10"/>
      <color rgb="FFFF0000"/>
      <name val="Helv"/>
      <charset val="238"/>
    </font>
    <font>
      <i/>
      <vertAlign val="superscript"/>
      <sz val="10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2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 CE"/>
      <family val="2"/>
      <charset val="238"/>
    </font>
    <font>
      <sz val="10"/>
      <color rgb="FFFF0000"/>
      <name val="Helv"/>
    </font>
    <font>
      <b/>
      <i/>
      <sz val="10"/>
      <color theme="1"/>
      <name val="Arial CE"/>
      <family val="2"/>
      <charset val="238"/>
    </font>
    <font>
      <b/>
      <sz val="10"/>
      <color rgb="FFFF0000"/>
      <name val="Arial"/>
      <family val="2"/>
      <charset val="238"/>
    </font>
    <font>
      <i/>
      <u/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14" fillId="0" borderId="0"/>
    <xf numFmtId="0" fontId="3" fillId="0" borderId="0"/>
    <xf numFmtId="0" fontId="29" fillId="0" borderId="0"/>
    <xf numFmtId="0" fontId="29" fillId="0" borderId="0">
      <alignment vertical="center"/>
    </xf>
    <xf numFmtId="0" fontId="29" fillId="0" borderId="0">
      <alignment vertical="center"/>
    </xf>
    <xf numFmtId="0" fontId="3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29" fillId="0" borderId="0"/>
    <xf numFmtId="0" fontId="3" fillId="0" borderId="0"/>
    <xf numFmtId="0" fontId="29" fillId="0" borderId="0"/>
    <xf numFmtId="0" fontId="1" fillId="0" borderId="0"/>
    <xf numFmtId="0" fontId="71" fillId="0" borderId="0"/>
    <xf numFmtId="0" fontId="72" fillId="0" borderId="0" applyNumberFormat="0" applyFill="0" applyBorder="0" applyAlignment="0" applyProtection="0"/>
    <xf numFmtId="0" fontId="9" fillId="0" borderId="0"/>
  </cellStyleXfs>
  <cellXfs count="1372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left"/>
    </xf>
    <xf numFmtId="1" fontId="3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right" vertical="top"/>
    </xf>
    <xf numFmtId="0" fontId="3" fillId="0" borderId="3" xfId="0" applyFont="1" applyBorder="1" applyAlignment="1">
      <alignment horizontal="centerContinuous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0" borderId="15" xfId="0" applyNumberFormat="1" applyFont="1" applyBorder="1" applyAlignment="1">
      <alignment vertical="top" wrapText="1"/>
    </xf>
    <xf numFmtId="0" fontId="3" fillId="0" borderId="14" xfId="0" quotePrefix="1" applyFont="1" applyBorder="1" applyAlignment="1">
      <alignment horizontal="center" vertical="top" wrapText="1"/>
    </xf>
    <xf numFmtId="3" fontId="3" fillId="0" borderId="16" xfId="0" applyNumberFormat="1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vertical="top" wrapText="1"/>
    </xf>
    <xf numFmtId="164" fontId="6" fillId="0" borderId="18" xfId="0" applyNumberFormat="1" applyFont="1" applyBorder="1" applyAlignment="1">
      <alignment horizontal="left" vertical="top" wrapText="1"/>
    </xf>
    <xf numFmtId="165" fontId="6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vertical="top" wrapText="1"/>
    </xf>
    <xf numFmtId="0" fontId="3" fillId="0" borderId="18" xfId="0" quotePrefix="1" applyFont="1" applyBorder="1" applyAlignment="1">
      <alignment horizontal="center" vertical="top" wrapText="1"/>
    </xf>
    <xf numFmtId="3" fontId="3" fillId="0" borderId="19" xfId="0" applyNumberFormat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17" xfId="0" applyFont="1" applyBorder="1" applyAlignment="1">
      <alignment horizontal="center" vertical="top"/>
    </xf>
    <xf numFmtId="49" fontId="6" fillId="0" borderId="18" xfId="0" applyNumberFormat="1" applyFont="1" applyBorder="1" applyAlignment="1">
      <alignment vertical="top"/>
    </xf>
    <xf numFmtId="49" fontId="4" fillId="0" borderId="18" xfId="0" quotePrefix="1" applyNumberFormat="1" applyFont="1" applyBorder="1" applyAlignment="1">
      <alignment horizontal="left" vertical="top"/>
    </xf>
    <xf numFmtId="49" fontId="4" fillId="0" borderId="18" xfId="0" applyNumberFormat="1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18" xfId="0" applyFont="1" applyBorder="1" applyAlignment="1">
      <alignment horizontal="center" vertical="top"/>
    </xf>
    <xf numFmtId="43" fontId="7" fillId="0" borderId="0" xfId="1" applyFont="1" applyAlignment="1">
      <alignment horizontal="right" wrapText="1"/>
    </xf>
    <xf numFmtId="0" fontId="3" fillId="0" borderId="19" xfId="0" applyFont="1" applyBorder="1" applyAlignment="1">
      <alignment vertical="top"/>
    </xf>
    <xf numFmtId="0" fontId="4" fillId="0" borderId="18" xfId="0" applyFont="1" applyBorder="1" applyAlignment="1">
      <alignment horizontal="left" wrapText="1"/>
    </xf>
    <xf numFmtId="43" fontId="4" fillId="0" borderId="19" xfId="0" applyNumberFormat="1" applyFont="1" applyBorder="1" applyAlignment="1">
      <alignment vertical="top"/>
    </xf>
    <xf numFmtId="0" fontId="8" fillId="0" borderId="18" xfId="2" applyFont="1" applyBorder="1" applyAlignment="1">
      <alignment horizontal="left" wrapText="1"/>
    </xf>
    <xf numFmtId="2" fontId="7" fillId="0" borderId="0" xfId="0" applyNumberFormat="1" applyFont="1" applyAlignment="1">
      <alignment wrapText="1"/>
    </xf>
    <xf numFmtId="0" fontId="10" fillId="0" borderId="17" xfId="0" applyFont="1" applyBorder="1" applyAlignment="1">
      <alignment vertical="top" wrapText="1"/>
    </xf>
    <xf numFmtId="164" fontId="11" fillId="0" borderId="18" xfId="0" applyNumberFormat="1" applyFont="1" applyBorder="1" applyAlignment="1">
      <alignment horizontal="left" vertical="top" wrapText="1"/>
    </xf>
    <xf numFmtId="165" fontId="11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2" fontId="4" fillId="0" borderId="19" xfId="0" applyNumberFormat="1" applyFont="1" applyBorder="1" applyAlignment="1">
      <alignment vertical="top"/>
    </xf>
    <xf numFmtId="0" fontId="7" fillId="0" borderId="0" xfId="0" applyFont="1" applyAlignment="1">
      <alignment vertical="center" wrapText="1"/>
    </xf>
    <xf numFmtId="0" fontId="12" fillId="0" borderId="0" xfId="0" applyFont="1"/>
    <xf numFmtId="0" fontId="13" fillId="0" borderId="17" xfId="2" applyFont="1" applyBorder="1" applyAlignment="1">
      <alignment horizontal="center" vertical="top"/>
    </xf>
    <xf numFmtId="2" fontId="15" fillId="0" borderId="0" xfId="0" applyNumberFormat="1" applyFont="1" applyAlignment="1">
      <alignment horizontal="right" vertical="center" wrapText="1"/>
    </xf>
    <xf numFmtId="3" fontId="16" fillId="0" borderId="19" xfId="2" applyNumberFormat="1" applyFont="1" applyBorder="1" applyAlignment="1">
      <alignment vertical="top"/>
    </xf>
    <xf numFmtId="2" fontId="7" fillId="0" borderId="0" xfId="0" applyNumberFormat="1" applyFont="1" applyAlignment="1">
      <alignment horizontal="right" vertical="center" wrapText="1"/>
    </xf>
    <xf numFmtId="4" fontId="16" fillId="0" borderId="19" xfId="2" applyNumberFormat="1" applyFont="1" applyBorder="1" applyAlignment="1">
      <alignment vertical="top"/>
    </xf>
    <xf numFmtId="0" fontId="16" fillId="0" borderId="17" xfId="2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8" xfId="0" applyFont="1" applyBorder="1" applyAlignment="1">
      <alignment horizontal="center" vertical="top"/>
    </xf>
    <xf numFmtId="4" fontId="8" fillId="0" borderId="19" xfId="2" applyNumberFormat="1" applyFont="1" applyBorder="1" applyAlignment="1">
      <alignment vertical="top"/>
    </xf>
    <xf numFmtId="4" fontId="4" fillId="0" borderId="19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49" fontId="3" fillId="0" borderId="18" xfId="0" applyNumberFormat="1" applyFont="1" applyBorder="1" applyAlignment="1">
      <alignment horizontal="left" vertical="top"/>
    </xf>
    <xf numFmtId="49" fontId="3" fillId="0" borderId="18" xfId="0" quotePrefix="1" applyNumberFormat="1" applyFont="1" applyBorder="1" applyAlignment="1">
      <alignment horizontal="left" vertical="top"/>
    </xf>
    <xf numFmtId="0" fontId="7" fillId="0" borderId="0" xfId="0" applyFont="1" applyAlignment="1">
      <alignment wrapText="1"/>
    </xf>
    <xf numFmtId="2" fontId="15" fillId="0" borderId="0" xfId="0" applyNumberFormat="1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17" xfId="0" applyBorder="1"/>
    <xf numFmtId="0" fontId="3" fillId="0" borderId="18" xfId="0" applyFont="1" applyBorder="1" applyAlignment="1">
      <alignment horizontal="left" wrapText="1"/>
    </xf>
    <xf numFmtId="43" fontId="3" fillId="0" borderId="19" xfId="0" applyNumberFormat="1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vertical="top" wrapText="1"/>
    </xf>
    <xf numFmtId="49" fontId="4" fillId="0" borderId="18" xfId="0" applyNumberFormat="1" applyFont="1" applyBorder="1" applyAlignment="1">
      <alignment horizontal="left" vertical="top" wrapText="1"/>
    </xf>
    <xf numFmtId="49" fontId="3" fillId="0" borderId="18" xfId="0" applyNumberFormat="1" applyFont="1" applyBorder="1" applyAlignment="1">
      <alignment horizontal="left" vertical="top" wrapText="1"/>
    </xf>
    <xf numFmtId="4" fontId="7" fillId="0" borderId="0" xfId="0" applyNumberFormat="1" applyFont="1" applyAlignment="1">
      <alignment vertical="top" wrapText="1"/>
    </xf>
    <xf numFmtId="49" fontId="16" fillId="0" borderId="18" xfId="4" quotePrefix="1" applyNumberFormat="1" applyFont="1" applyBorder="1" applyAlignment="1">
      <alignment horizontal="left" vertical="top"/>
    </xf>
    <xf numFmtId="4" fontId="3" fillId="0" borderId="19" xfId="0" applyNumberFormat="1" applyFont="1" applyBorder="1" applyAlignment="1">
      <alignment vertical="top"/>
    </xf>
    <xf numFmtId="0" fontId="15" fillId="0" borderId="0" xfId="0" applyFont="1" applyAlignment="1">
      <alignment vertical="top" wrapText="1"/>
    </xf>
    <xf numFmtId="49" fontId="16" fillId="0" borderId="18" xfId="4" applyNumberFormat="1" applyFont="1" applyBorder="1" applyAlignment="1">
      <alignment horizontal="left" vertical="top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0" fontId="16" fillId="0" borderId="18" xfId="4" applyFont="1" applyBorder="1" applyAlignment="1">
      <alignment horizontal="center" vertical="top"/>
    </xf>
    <xf numFmtId="0" fontId="4" fillId="0" borderId="18" xfId="4" applyFont="1" applyBorder="1" applyAlignment="1">
      <alignment horizontal="left" vertical="top" wrapText="1"/>
    </xf>
    <xf numFmtId="4" fontId="7" fillId="0" borderId="0" xfId="0" applyNumberFormat="1" applyFont="1" applyAlignment="1">
      <alignment wrapText="1"/>
    </xf>
    <xf numFmtId="0" fontId="18" fillId="0" borderId="0" xfId="0" applyFont="1" applyAlignment="1">
      <alignment horizontal="right" vertical="top" wrapText="1"/>
    </xf>
    <xf numFmtId="4" fontId="18" fillId="0" borderId="0" xfId="0" applyNumberFormat="1" applyFont="1" applyAlignment="1">
      <alignment wrapText="1"/>
    </xf>
    <xf numFmtId="0" fontId="6" fillId="0" borderId="18" xfId="0" applyFont="1" applyBorder="1" applyAlignment="1">
      <alignment vertical="top"/>
    </xf>
    <xf numFmtId="49" fontId="6" fillId="0" borderId="18" xfId="0" applyNumberFormat="1" applyFont="1" applyBorder="1" applyAlignment="1">
      <alignment horizontal="left" vertical="top"/>
    </xf>
    <xf numFmtId="0" fontId="10" fillId="0" borderId="22" xfId="0" applyFont="1" applyBorder="1"/>
    <xf numFmtId="0" fontId="19" fillId="0" borderId="0" xfId="0" applyFont="1" applyAlignment="1">
      <alignment vertical="top" wrapText="1"/>
    </xf>
    <xf numFmtId="0" fontId="10" fillId="0" borderId="18" xfId="0" applyFont="1" applyBorder="1" applyAlignment="1">
      <alignment horizontal="center" vertical="top"/>
    </xf>
    <xf numFmtId="0" fontId="10" fillId="0" borderId="0" xfId="0" applyFont="1"/>
    <xf numFmtId="2" fontId="3" fillId="0" borderId="19" xfId="0" applyNumberFormat="1" applyFont="1" applyBorder="1" applyAlignment="1">
      <alignment vertical="top"/>
    </xf>
    <xf numFmtId="0" fontId="6" fillId="0" borderId="0" xfId="0" applyFont="1" applyAlignment="1">
      <alignment vertical="center" wrapText="1"/>
    </xf>
    <xf numFmtId="0" fontId="6" fillId="0" borderId="18" xfId="0" applyFont="1" applyBorder="1" applyAlignment="1">
      <alignment horizontal="center" vertical="top"/>
    </xf>
    <xf numFmtId="4" fontId="20" fillId="0" borderId="0" xfId="4" applyNumberFormat="1" applyFont="1" applyAlignment="1">
      <alignment wrapText="1"/>
    </xf>
    <xf numFmtId="0" fontId="17" fillId="0" borderId="0" xfId="0" applyFont="1" applyAlignment="1">
      <alignment vertical="top" wrapText="1"/>
    </xf>
    <xf numFmtId="4" fontId="17" fillId="0" borderId="0" xfId="0" applyNumberFormat="1" applyFont="1" applyAlignment="1">
      <alignment vertical="center" wrapText="1"/>
    </xf>
    <xf numFmtId="0" fontId="0" fillId="0" borderId="22" xfId="0" applyBorder="1"/>
    <xf numFmtId="0" fontId="3" fillId="0" borderId="23" xfId="0" applyFont="1" applyBorder="1"/>
    <xf numFmtId="0" fontId="3" fillId="0" borderId="8" xfId="0" applyFont="1" applyBorder="1"/>
    <xf numFmtId="4" fontId="3" fillId="0" borderId="9" xfId="0" applyNumberFormat="1" applyFont="1" applyBorder="1"/>
    <xf numFmtId="4" fontId="7" fillId="0" borderId="10" xfId="0" applyNumberFormat="1" applyFont="1" applyBorder="1"/>
    <xf numFmtId="3" fontId="3" fillId="0" borderId="24" xfId="0" applyNumberFormat="1" applyFont="1" applyBorder="1" applyAlignment="1">
      <alignment vertical="top"/>
    </xf>
    <xf numFmtId="0" fontId="3" fillId="0" borderId="0" xfId="0" applyFont="1"/>
    <xf numFmtId="4" fontId="7" fillId="0" borderId="0" xfId="0" applyNumberFormat="1" applyFont="1"/>
    <xf numFmtId="3" fontId="3" fillId="0" borderId="0" xfId="0" applyNumberFormat="1" applyFont="1"/>
    <xf numFmtId="0" fontId="6" fillId="0" borderId="18" xfId="0" applyFont="1" applyBorder="1" applyAlignment="1">
      <alignment horizontal="center" vertical="top" wrapText="1"/>
    </xf>
    <xf numFmtId="0" fontId="21" fillId="0" borderId="0" xfId="0" applyFont="1"/>
    <xf numFmtId="4" fontId="4" fillId="0" borderId="19" xfId="0" applyNumberFormat="1" applyFont="1" applyBorder="1" applyAlignment="1">
      <alignment horizontal="right" vertical="center"/>
    </xf>
    <xf numFmtId="49" fontId="4" fillId="0" borderId="0" xfId="0" quotePrefix="1" applyNumberFormat="1" applyFont="1" applyAlignment="1">
      <alignment horizontal="left" vertical="top"/>
    </xf>
    <xf numFmtId="4" fontId="3" fillId="0" borderId="19" xfId="0" applyNumberFormat="1" applyFont="1" applyBorder="1" applyAlignment="1">
      <alignment horizontal="right" vertical="center"/>
    </xf>
    <xf numFmtId="0" fontId="3" fillId="0" borderId="18" xfId="0" applyFont="1" applyBorder="1" applyAlignment="1">
      <alignment horizontal="center"/>
    </xf>
    <xf numFmtId="2" fontId="0" fillId="0" borderId="0" xfId="0" applyNumberFormat="1"/>
    <xf numFmtId="0" fontId="15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2" fontId="18" fillId="0" borderId="0" xfId="0" applyNumberFormat="1" applyFont="1" applyAlignment="1">
      <alignment wrapText="1"/>
    </xf>
    <xf numFmtId="4" fontId="3" fillId="0" borderId="19" xfId="0" applyNumberFormat="1" applyFont="1" applyBorder="1" applyAlignment="1">
      <alignment horizontal="right" vertical="top" wrapText="1"/>
    </xf>
    <xf numFmtId="0" fontId="3" fillId="0" borderId="18" xfId="0" applyFont="1" applyBorder="1" applyAlignment="1">
      <alignment vertical="top"/>
    </xf>
    <xf numFmtId="49" fontId="4" fillId="0" borderId="18" xfId="0" applyNumberFormat="1" applyFont="1" applyBorder="1" applyAlignment="1">
      <alignment vertical="top"/>
    </xf>
    <xf numFmtId="2" fontId="4" fillId="0" borderId="0" xfId="0" applyNumberFormat="1" applyFont="1" applyAlignment="1">
      <alignment vertical="center" wrapText="1"/>
    </xf>
    <xf numFmtId="4" fontId="4" fillId="0" borderId="19" xfId="0" applyNumberFormat="1" applyFont="1" applyBorder="1" applyAlignment="1">
      <alignment horizontal="right" vertical="top" wrapText="1"/>
    </xf>
    <xf numFmtId="49" fontId="7" fillId="0" borderId="0" xfId="0" applyNumberFormat="1" applyFont="1" applyAlignment="1" applyProtection="1">
      <alignment horizontal="left" vertical="top" wrapText="1" indent="1"/>
      <protection locked="0"/>
    </xf>
    <xf numFmtId="0" fontId="4" fillId="0" borderId="18" xfId="0" quotePrefix="1" applyFont="1" applyBorder="1" applyAlignment="1">
      <alignment horizontal="center" vertical="top"/>
    </xf>
    <xf numFmtId="4" fontId="7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vertical="top" wrapText="1"/>
    </xf>
    <xf numFmtId="4" fontId="15" fillId="0" borderId="0" xfId="0" applyNumberFormat="1" applyFont="1" applyAlignment="1">
      <alignment vertical="top" wrapText="1"/>
    </xf>
    <xf numFmtId="2" fontId="7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wrapText="1"/>
    </xf>
    <xf numFmtId="4" fontId="7" fillId="0" borderId="0" xfId="0" applyNumberFormat="1" applyFont="1" applyAlignment="1">
      <alignment horizontal="right" wrapText="1"/>
    </xf>
    <xf numFmtId="0" fontId="4" fillId="0" borderId="0" xfId="0" applyFont="1" applyAlignment="1">
      <alignment vertical="center" wrapText="1"/>
    </xf>
    <xf numFmtId="4" fontId="15" fillId="0" borderId="0" xfId="0" applyNumberFormat="1" applyFont="1" applyAlignment="1">
      <alignment wrapText="1"/>
    </xf>
    <xf numFmtId="0" fontId="4" fillId="0" borderId="18" xfId="0" applyFont="1" applyBorder="1" applyAlignment="1">
      <alignment vertical="top"/>
    </xf>
    <xf numFmtId="166" fontId="0" fillId="0" borderId="0" xfId="0" applyNumberFormat="1"/>
    <xf numFmtId="3" fontId="3" fillId="0" borderId="20" xfId="0" applyNumberFormat="1" applyFont="1" applyBorder="1" applyAlignment="1">
      <alignment vertical="top"/>
    </xf>
    <xf numFmtId="3" fontId="3" fillId="0" borderId="20" xfId="0" applyNumberFormat="1" applyFont="1" applyBorder="1"/>
    <xf numFmtId="4" fontId="4" fillId="0" borderId="19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top" wrapText="1"/>
    </xf>
    <xf numFmtId="0" fontId="5" fillId="0" borderId="22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7" fillId="0" borderId="21" xfId="2" applyFont="1" applyBorder="1" applyAlignment="1" applyProtection="1">
      <alignment horizontal="left" vertical="top" wrapText="1"/>
      <protection locked="0"/>
    </xf>
    <xf numFmtId="4" fontId="7" fillId="0" borderId="0" xfId="2" applyNumberFormat="1" applyFont="1" applyAlignment="1" applyProtection="1">
      <alignment vertical="top" wrapText="1"/>
      <protection locked="0"/>
    </xf>
    <xf numFmtId="4" fontId="32" fillId="0" borderId="25" xfId="0" applyNumberFormat="1" applyFont="1" applyBorder="1" applyAlignment="1">
      <alignment vertical="center"/>
    </xf>
    <xf numFmtId="0" fontId="7" fillId="0" borderId="21" xfId="2" applyFont="1" applyBorder="1" applyAlignment="1">
      <alignment vertical="top" wrapText="1"/>
    </xf>
    <xf numFmtId="4" fontId="18" fillId="0" borderId="0" xfId="0" applyNumberFormat="1" applyFont="1" applyAlignment="1">
      <alignment vertical="top" wrapText="1"/>
    </xf>
    <xf numFmtId="0" fontId="27" fillId="0" borderId="18" xfId="0" applyFont="1" applyBorder="1" applyAlignment="1">
      <alignment horizontal="left" wrapText="1"/>
    </xf>
    <xf numFmtId="49" fontId="27" fillId="0" borderId="18" xfId="0" applyNumberFormat="1" applyFont="1" applyBorder="1" applyAlignment="1">
      <alignment horizontal="left" vertical="top"/>
    </xf>
    <xf numFmtId="0" fontId="17" fillId="0" borderId="21" xfId="0" applyFont="1" applyBorder="1" applyAlignment="1">
      <alignment vertical="center" wrapText="1"/>
    </xf>
    <xf numFmtId="0" fontId="7" fillId="0" borderId="21" xfId="0" applyFont="1" applyBorder="1" applyAlignment="1" applyProtection="1">
      <alignment horizontal="left" vertical="top" wrapText="1"/>
      <protection locked="0"/>
    </xf>
    <xf numFmtId="4" fontId="7" fillId="0" borderId="25" xfId="0" applyNumberFormat="1" applyFont="1" applyBorder="1" applyAlignment="1">
      <alignment vertical="top" wrapText="1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21" xfId="7" applyFont="1" applyBorder="1" applyAlignment="1">
      <alignment vertical="top" wrapText="1"/>
    </xf>
    <xf numFmtId="4" fontId="7" fillId="0" borderId="25" xfId="7" applyNumberFormat="1" applyFont="1" applyBorder="1" applyAlignment="1">
      <alignment vertical="top" wrapText="1"/>
    </xf>
    <xf numFmtId="4" fontId="7" fillId="0" borderId="25" xfId="2" applyNumberFormat="1" applyFont="1" applyBorder="1" applyAlignment="1" applyProtection="1">
      <alignment vertical="top" wrapText="1"/>
      <protection locked="0"/>
    </xf>
    <xf numFmtId="0" fontId="20" fillId="0" borderId="21" xfId="2" applyFont="1" applyBorder="1" applyAlignment="1">
      <alignment vertical="top" wrapText="1"/>
    </xf>
    <xf numFmtId="4" fontId="22" fillId="0" borderId="25" xfId="2" applyNumberFormat="1" applyFont="1" applyBorder="1" applyAlignment="1" applyProtection="1">
      <alignment vertical="top" wrapText="1"/>
      <protection locked="0"/>
    </xf>
    <xf numFmtId="4" fontId="20" fillId="0" borderId="25" xfId="2" applyNumberFormat="1" applyFont="1" applyBorder="1" applyAlignment="1" applyProtection="1">
      <alignment vertical="top" wrapText="1"/>
      <protection locked="0"/>
    </xf>
    <xf numFmtId="0" fontId="20" fillId="0" borderId="21" xfId="3" applyFont="1" applyBorder="1" applyAlignment="1">
      <alignment horizontal="left" vertical="center" wrapText="1"/>
    </xf>
    <xf numFmtId="0" fontId="7" fillId="0" borderId="21" xfId="0" applyFont="1" applyBorder="1" applyAlignment="1">
      <alignment vertical="top" wrapText="1"/>
    </xf>
    <xf numFmtId="4" fontId="4" fillId="0" borderId="19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3" fillId="0" borderId="17" xfId="0" applyFont="1" applyBorder="1" applyAlignment="1">
      <alignment wrapText="1"/>
    </xf>
    <xf numFmtId="4" fontId="7" fillId="0" borderId="25" xfId="0" applyNumberFormat="1" applyFont="1" applyBorder="1" applyAlignment="1" applyProtection="1">
      <alignment horizontal="right" vertical="top" wrapText="1"/>
      <protection locked="0"/>
    </xf>
    <xf numFmtId="4" fontId="18" fillId="0" borderId="0" xfId="0" applyNumberFormat="1" applyFont="1" applyAlignment="1" applyProtection="1">
      <alignment horizontal="right" vertical="top" wrapText="1"/>
      <protection locked="0"/>
    </xf>
    <xf numFmtId="4" fontId="7" fillId="0" borderId="0" xfId="0" applyNumberFormat="1" applyFont="1" applyAlignment="1" applyProtection="1">
      <alignment horizontal="right" vertical="top" wrapText="1"/>
      <protection locked="0"/>
    </xf>
    <xf numFmtId="2" fontId="17" fillId="0" borderId="25" xfId="2" applyNumberFormat="1" applyFont="1" applyBorder="1" applyAlignment="1">
      <alignment vertical="top" wrapText="1"/>
    </xf>
    <xf numFmtId="4" fontId="17" fillId="0" borderId="25" xfId="0" applyNumberFormat="1" applyFont="1" applyBorder="1" applyAlignment="1">
      <alignment vertical="center"/>
    </xf>
    <xf numFmtId="0" fontId="17" fillId="0" borderId="21" xfId="2" applyFont="1" applyBorder="1" applyAlignment="1">
      <alignment vertical="top" wrapText="1"/>
    </xf>
    <xf numFmtId="2" fontId="17" fillId="0" borderId="25" xfId="3" applyNumberFormat="1" applyFont="1" applyBorder="1" applyAlignment="1">
      <alignment vertical="center" wrapText="1"/>
    </xf>
    <xf numFmtId="4" fontId="17" fillId="0" borderId="0" xfId="2" applyNumberFormat="1" applyFont="1" applyAlignment="1">
      <alignment vertical="top" wrapText="1"/>
    </xf>
    <xf numFmtId="0" fontId="3" fillId="0" borderId="17" xfId="0" applyFont="1" applyBorder="1"/>
    <xf numFmtId="0" fontId="3" fillId="0" borderId="17" xfId="0" applyFont="1" applyBorder="1" applyAlignment="1">
      <alignment vertical="top" wrapText="1"/>
    </xf>
    <xf numFmtId="4" fontId="15" fillId="0" borderId="25" xfId="0" applyNumberFormat="1" applyFont="1" applyBorder="1" applyAlignment="1" applyProtection="1">
      <alignment horizontal="right" vertical="top" wrapText="1"/>
      <protection locked="0"/>
    </xf>
    <xf numFmtId="4" fontId="7" fillId="0" borderId="0" xfId="2" applyNumberFormat="1" applyFont="1" applyAlignment="1">
      <alignment vertical="top" wrapText="1"/>
    </xf>
    <xf numFmtId="0" fontId="20" fillId="0" borderId="21" xfId="3" applyFont="1" applyBorder="1" applyAlignment="1" applyProtection="1">
      <alignment horizontal="left" vertical="center" wrapText="1"/>
      <protection locked="0"/>
    </xf>
    <xf numFmtId="4" fontId="17" fillId="0" borderId="0" xfId="0" applyNumberFormat="1" applyFont="1"/>
    <xf numFmtId="0" fontId="7" fillId="0" borderId="21" xfId="3" applyFont="1" applyBorder="1" applyAlignment="1" applyProtection="1">
      <alignment horizontal="left" vertical="center" wrapText="1"/>
      <protection locked="0"/>
    </xf>
    <xf numFmtId="4" fontId="23" fillId="0" borderId="0" xfId="0" applyNumberFormat="1" applyFont="1"/>
    <xf numFmtId="4" fontId="17" fillId="0" borderId="0" xfId="0" applyNumberFormat="1" applyFont="1" applyAlignment="1">
      <alignment vertical="center"/>
    </xf>
    <xf numFmtId="0" fontId="20" fillId="0" borderId="0" xfId="3" applyFont="1" applyAlignment="1">
      <alignment horizontal="left" vertical="center" wrapText="1"/>
    </xf>
    <xf numFmtId="4" fontId="32" fillId="0" borderId="0" xfId="0" applyNumberFormat="1" applyFont="1" applyAlignment="1">
      <alignment vertical="center"/>
    </xf>
    <xf numFmtId="0" fontId="4" fillId="0" borderId="21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49" fontId="25" fillId="0" borderId="18" xfId="0" quotePrefix="1" applyNumberFormat="1" applyFont="1" applyBorder="1" applyAlignment="1">
      <alignment horizontal="left" vertical="top"/>
    </xf>
    <xf numFmtId="0" fontId="25" fillId="0" borderId="0" xfId="0" applyFont="1" applyAlignment="1">
      <alignment wrapText="1"/>
    </xf>
    <xf numFmtId="0" fontId="25" fillId="0" borderId="0" xfId="0" applyFont="1" applyAlignment="1">
      <alignment vertical="top" wrapText="1"/>
    </xf>
    <xf numFmtId="0" fontId="4" fillId="0" borderId="18" xfId="0" applyFont="1" applyBorder="1" applyAlignment="1">
      <alignment wrapText="1"/>
    </xf>
    <xf numFmtId="164" fontId="4" fillId="0" borderId="18" xfId="0" applyNumberFormat="1" applyFont="1" applyBorder="1" applyAlignment="1">
      <alignment horizontal="left" vertical="top"/>
    </xf>
    <xf numFmtId="165" fontId="4" fillId="0" borderId="18" xfId="0" applyNumberFormat="1" applyFont="1" applyBorder="1" applyAlignment="1">
      <alignment horizontal="left" vertical="top"/>
    </xf>
    <xf numFmtId="0" fontId="3" fillId="0" borderId="18" xfId="0" applyFont="1" applyBorder="1" applyAlignment="1">
      <alignment wrapText="1"/>
    </xf>
    <xf numFmtId="164" fontId="3" fillId="0" borderId="18" xfId="0" applyNumberFormat="1" applyFont="1" applyBorder="1" applyAlignment="1">
      <alignment horizontal="left" vertical="top"/>
    </xf>
    <xf numFmtId="165" fontId="3" fillId="0" borderId="18" xfId="0" applyNumberFormat="1" applyFont="1" applyBorder="1" applyAlignment="1">
      <alignment horizontal="left" vertical="top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3" fontId="3" fillId="0" borderId="26" xfId="0" applyNumberFormat="1" applyFont="1" applyBorder="1" applyAlignment="1">
      <alignment vertical="top" wrapText="1"/>
    </xf>
    <xf numFmtId="4" fontId="0" fillId="0" borderId="0" xfId="0" applyNumberFormat="1"/>
    <xf numFmtId="43" fontId="24" fillId="0" borderId="0" xfId="1" applyFont="1" applyAlignment="1">
      <alignment horizontal="right" wrapText="1"/>
    </xf>
    <xf numFmtId="0" fontId="23" fillId="0" borderId="0" xfId="0" applyFont="1" applyAlignment="1">
      <alignment vertical="top" wrapText="1"/>
    </xf>
    <xf numFmtId="0" fontId="33" fillId="0" borderId="0" xfId="0" applyFont="1" applyAlignment="1">
      <alignment vertical="top" wrapText="1"/>
    </xf>
    <xf numFmtId="2" fontId="7" fillId="0" borderId="0" xfId="0" applyNumberFormat="1" applyFont="1" applyAlignment="1">
      <alignment vertical="center" wrapText="1"/>
    </xf>
    <xf numFmtId="2" fontId="15" fillId="0" borderId="0" xfId="0" applyNumberFormat="1" applyFont="1" applyAlignment="1">
      <alignment vertical="center" wrapText="1"/>
    </xf>
    <xf numFmtId="0" fontId="4" fillId="0" borderId="18" xfId="0" applyFont="1" applyBorder="1" applyAlignment="1">
      <alignment vertical="top" wrapText="1"/>
    </xf>
    <xf numFmtId="4" fontId="23" fillId="0" borderId="0" xfId="0" applyNumberFormat="1" applyFont="1" applyAlignment="1">
      <alignment vertical="center" wrapText="1"/>
    </xf>
    <xf numFmtId="0" fontId="29" fillId="0" borderId="0" xfId="0" applyFont="1"/>
    <xf numFmtId="0" fontId="3" fillId="0" borderId="18" xfId="0" applyFont="1" applyBorder="1" applyAlignment="1">
      <alignment horizontal="left" vertical="top"/>
    </xf>
    <xf numFmtId="0" fontId="29" fillId="0" borderId="1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17" xfId="8" applyFont="1" applyBorder="1" applyAlignment="1">
      <alignment horizontal="center" vertical="top"/>
    </xf>
    <xf numFmtId="4" fontId="21" fillId="0" borderId="0" xfId="0" applyNumberFormat="1" applyFont="1"/>
    <xf numFmtId="4" fontId="10" fillId="0" borderId="0" xfId="0" applyNumberFormat="1" applyFont="1"/>
    <xf numFmtId="4" fontId="35" fillId="0" borderId="0" xfId="0" applyNumberFormat="1" applyFont="1"/>
    <xf numFmtId="4" fontId="7" fillId="0" borderId="0" xfId="0" applyNumberFormat="1" applyFont="1" applyAlignment="1">
      <alignment vertical="center" wrapText="1"/>
    </xf>
    <xf numFmtId="0" fontId="15" fillId="0" borderId="0" xfId="0" applyFont="1" applyAlignment="1">
      <alignment wrapText="1"/>
    </xf>
    <xf numFmtId="49" fontId="7" fillId="0" borderId="0" xfId="0" applyNumberFormat="1" applyFont="1" applyAlignment="1">
      <alignment horizontal="left" vertical="top" wrapText="1"/>
    </xf>
    <xf numFmtId="43" fontId="7" fillId="0" borderId="0" xfId="1" applyFont="1" applyBorder="1" applyAlignment="1">
      <alignment horizontal="right" wrapText="1"/>
    </xf>
    <xf numFmtId="0" fontId="15" fillId="0" borderId="0" xfId="0" applyFont="1" applyAlignment="1" applyProtection="1">
      <alignment horizontal="left" vertical="top" wrapText="1"/>
      <protection locked="0"/>
    </xf>
    <xf numFmtId="2" fontId="17" fillId="0" borderId="0" xfId="0" applyNumberFormat="1" applyFont="1" applyAlignment="1">
      <alignment vertical="center" wrapText="1"/>
    </xf>
    <xf numFmtId="0" fontId="21" fillId="0" borderId="17" xfId="0" applyFont="1" applyBorder="1"/>
    <xf numFmtId="2" fontId="7" fillId="0" borderId="0" xfId="0" applyNumberFormat="1" applyFont="1" applyAlignment="1">
      <alignment vertical="top" wrapText="1"/>
    </xf>
    <xf numFmtId="0" fontId="4" fillId="0" borderId="25" xfId="0" applyFont="1" applyBorder="1" applyAlignment="1">
      <alignment wrapText="1"/>
    </xf>
    <xf numFmtId="0" fontId="4" fillId="0" borderId="25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165" fontId="3" fillId="0" borderId="25" xfId="0" applyNumberFormat="1" applyFont="1" applyBorder="1" applyAlignment="1">
      <alignment horizontal="left" vertical="top"/>
    </xf>
    <xf numFmtId="0" fontId="3" fillId="0" borderId="25" xfId="0" applyFont="1" applyBorder="1" applyAlignment="1">
      <alignment horizontal="left" wrapText="1"/>
    </xf>
    <xf numFmtId="0" fontId="6" fillId="0" borderId="25" xfId="0" applyFont="1" applyBorder="1" applyAlignment="1">
      <alignment vertical="top" wrapText="1"/>
    </xf>
    <xf numFmtId="49" fontId="4" fillId="0" borderId="25" xfId="0" applyNumberFormat="1" applyFont="1" applyBorder="1" applyAlignment="1">
      <alignment horizontal="center" vertical="top" wrapText="1"/>
    </xf>
    <xf numFmtId="3" fontId="3" fillId="0" borderId="19" xfId="0" applyNumberFormat="1" applyFont="1" applyBorder="1" applyAlignment="1">
      <alignment vertical="top"/>
    </xf>
    <xf numFmtId="4" fontId="15" fillId="0" borderId="0" xfId="0" applyNumberFormat="1" applyFont="1" applyAlignment="1" applyProtection="1">
      <alignment horizontal="right" vertical="top" wrapText="1"/>
      <protection locked="0"/>
    </xf>
    <xf numFmtId="164" fontId="4" fillId="0" borderId="18" xfId="0" applyNumberFormat="1" applyFont="1" applyBorder="1" applyAlignment="1">
      <alignment horizontal="left" vertical="top" wrapText="1"/>
    </xf>
    <xf numFmtId="49" fontId="3" fillId="0" borderId="25" xfId="0" quotePrefix="1" applyNumberFormat="1" applyFont="1" applyBorder="1" applyAlignment="1">
      <alignment horizontal="left" vertical="top"/>
    </xf>
    <xf numFmtId="0" fontId="4" fillId="0" borderId="25" xfId="0" applyFont="1" applyBorder="1" applyAlignment="1">
      <alignment horizontal="center" vertical="top"/>
    </xf>
    <xf numFmtId="49" fontId="4" fillId="0" borderId="18" xfId="0" applyNumberFormat="1" applyFont="1" applyBorder="1" applyAlignment="1">
      <alignment wrapText="1"/>
    </xf>
    <xf numFmtId="49" fontId="3" fillId="0" borderId="18" xfId="0" applyNumberFormat="1" applyFont="1" applyBorder="1" applyAlignment="1">
      <alignment wrapText="1"/>
    </xf>
    <xf numFmtId="3" fontId="3" fillId="0" borderId="19" xfId="0" applyNumberFormat="1" applyFont="1" applyBorder="1" applyAlignment="1">
      <alignment horizontal="right" vertical="top" wrapText="1"/>
    </xf>
    <xf numFmtId="0" fontId="27" fillId="0" borderId="18" xfId="0" applyFont="1" applyBorder="1" applyAlignment="1">
      <alignment horizontal="center" vertical="top"/>
    </xf>
    <xf numFmtId="49" fontId="4" fillId="0" borderId="25" xfId="0" applyNumberFormat="1" applyFont="1" applyBorder="1" applyAlignment="1">
      <alignment horizontal="left" vertical="top"/>
    </xf>
    <xf numFmtId="49" fontId="3" fillId="0" borderId="25" xfId="0" applyNumberFormat="1" applyFont="1" applyBorder="1" applyAlignment="1">
      <alignment horizontal="left" vertical="top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left" vertical="top" wrapText="1" indent="1"/>
      <protection locked="0"/>
    </xf>
    <xf numFmtId="0" fontId="36" fillId="0" borderId="0" xfId="0" applyFont="1"/>
    <xf numFmtId="167" fontId="4" fillId="0" borderId="19" xfId="0" applyNumberFormat="1" applyFont="1" applyBorder="1" applyAlignment="1">
      <alignment horizontal="right" vertical="top"/>
    </xf>
    <xf numFmtId="167" fontId="3" fillId="0" borderId="19" xfId="0" applyNumberFormat="1" applyFont="1" applyBorder="1" applyAlignment="1">
      <alignment horizontal="right" vertical="top"/>
    </xf>
    <xf numFmtId="0" fontId="3" fillId="0" borderId="25" xfId="0" applyFont="1" applyBorder="1" applyAlignment="1">
      <alignment vertical="top" wrapText="1"/>
    </xf>
    <xf numFmtId="2" fontId="15" fillId="0" borderId="0" xfId="0" applyNumberFormat="1" applyFont="1" applyAlignment="1">
      <alignment vertical="top" wrapText="1"/>
    </xf>
    <xf numFmtId="167" fontId="4" fillId="0" borderId="19" xfId="1" applyNumberFormat="1" applyFont="1" applyBorder="1" applyAlignment="1">
      <alignment vertical="top"/>
    </xf>
    <xf numFmtId="167" fontId="3" fillId="0" borderId="19" xfId="1" applyNumberFormat="1" applyFont="1" applyBorder="1" applyAlignment="1">
      <alignment vertical="top"/>
    </xf>
    <xf numFmtId="2" fontId="23" fillId="0" borderId="0" xfId="0" applyNumberFormat="1" applyFont="1" applyAlignment="1">
      <alignment vertical="center" wrapText="1"/>
    </xf>
    <xf numFmtId="4" fontId="15" fillId="0" borderId="0" xfId="0" applyNumberFormat="1" applyFont="1" applyAlignment="1">
      <alignment vertical="center" wrapText="1"/>
    </xf>
    <xf numFmtId="43" fontId="7" fillId="0" borderId="0" xfId="1" applyFont="1" applyAlignment="1">
      <alignment horizontal="right" vertical="center" wrapText="1"/>
    </xf>
    <xf numFmtId="43" fontId="7" fillId="0" borderId="0" xfId="0" applyNumberFormat="1" applyFont="1" applyAlignment="1">
      <alignment horizontal="right" vertical="center" wrapText="1"/>
    </xf>
    <xf numFmtId="2" fontId="18" fillId="0" borderId="0" xfId="0" applyNumberFormat="1" applyFont="1" applyAlignment="1">
      <alignment vertical="center" wrapText="1"/>
    </xf>
    <xf numFmtId="49" fontId="4" fillId="0" borderId="17" xfId="0" applyNumberFormat="1" applyFont="1" applyBorder="1" applyAlignment="1" applyProtection="1">
      <alignment horizontal="center" vertical="top" wrapText="1"/>
      <protection locked="0"/>
    </xf>
    <xf numFmtId="0" fontId="41" fillId="0" borderId="0" xfId="0" applyFont="1"/>
    <xf numFmtId="0" fontId="4" fillId="0" borderId="25" xfId="0" applyFont="1" applyBorder="1" applyAlignment="1">
      <alignment horizontal="left" wrapText="1"/>
    </xf>
    <xf numFmtId="0" fontId="4" fillId="0" borderId="22" xfId="0" applyFont="1" applyBorder="1" applyAlignment="1">
      <alignment horizontal="center" vertical="top" wrapText="1"/>
    </xf>
    <xf numFmtId="0" fontId="10" fillId="0" borderId="17" xfId="0" applyFont="1" applyBorder="1"/>
    <xf numFmtId="49" fontId="6" fillId="0" borderId="25" xfId="0" applyNumberFormat="1" applyFont="1" applyBorder="1" applyAlignment="1">
      <alignment vertical="top"/>
    </xf>
    <xf numFmtId="0" fontId="17" fillId="0" borderId="0" xfId="0" applyFont="1" applyAlignment="1">
      <alignment wrapText="1"/>
    </xf>
    <xf numFmtId="2" fontId="23" fillId="0" borderId="0" xfId="0" applyNumberFormat="1" applyFont="1" applyAlignment="1">
      <alignment wrapText="1"/>
    </xf>
    <xf numFmtId="2" fontId="3" fillId="0" borderId="19" xfId="0" applyNumberFormat="1" applyFont="1" applyBorder="1" applyAlignment="1">
      <alignment horizontal="right" vertical="top" wrapText="1"/>
    </xf>
    <xf numFmtId="2" fontId="3" fillId="0" borderId="19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wrapText="1"/>
    </xf>
    <xf numFmtId="2" fontId="4" fillId="0" borderId="19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wrapText="1"/>
    </xf>
    <xf numFmtId="2" fontId="17" fillId="0" borderId="0" xfId="0" applyNumberFormat="1" applyFont="1" applyAlignment="1">
      <alignment wrapText="1"/>
    </xf>
    <xf numFmtId="2" fontId="7" fillId="0" borderId="0" xfId="0" applyNumberFormat="1" applyFont="1"/>
    <xf numFmtId="2" fontId="3" fillId="0" borderId="0" xfId="0" applyNumberFormat="1" applyFont="1"/>
    <xf numFmtId="49" fontId="18" fillId="0" borderId="0" xfId="0" applyNumberFormat="1" applyFont="1" applyAlignment="1" applyProtection="1">
      <alignment horizontal="right" vertical="top" wrapText="1"/>
      <protection locked="0"/>
    </xf>
    <xf numFmtId="0" fontId="9" fillId="0" borderId="18" xfId="0" applyFont="1" applyBorder="1"/>
    <xf numFmtId="0" fontId="4" fillId="0" borderId="17" xfId="0" applyFont="1" applyBorder="1" applyAlignment="1">
      <alignment horizontal="center" vertical="top"/>
    </xf>
    <xf numFmtId="0" fontId="7" fillId="0" borderId="0" xfId="0" applyFont="1" applyAlignment="1">
      <alignment horizontal="left" vertical="top" wrapText="1" indent="1"/>
    </xf>
    <xf numFmtId="4" fontId="15" fillId="0" borderId="0" xfId="0" applyNumberFormat="1" applyFont="1" applyAlignment="1">
      <alignment horizontal="right" vertical="top" wrapText="1"/>
    </xf>
    <xf numFmtId="0" fontId="4" fillId="0" borderId="18" xfId="0" applyFont="1" applyBorder="1" applyAlignment="1">
      <alignment horizontal="center" vertical="center"/>
    </xf>
    <xf numFmtId="4" fontId="7" fillId="0" borderId="0" xfId="0" applyNumberFormat="1" applyFont="1" applyAlignment="1" applyProtection="1">
      <alignment horizontal="right" wrapText="1"/>
      <protection locked="0"/>
    </xf>
    <xf numFmtId="0" fontId="18" fillId="0" borderId="0" xfId="0" applyFont="1" applyAlignment="1" applyProtection="1">
      <alignment horizontal="right" vertical="top" wrapText="1"/>
      <protection locked="0"/>
    </xf>
    <xf numFmtId="49" fontId="7" fillId="0" borderId="0" xfId="0" applyNumberFormat="1" applyFont="1" applyAlignment="1" applyProtection="1">
      <alignment vertical="top" wrapText="1"/>
      <protection locked="0"/>
    </xf>
    <xf numFmtId="0" fontId="29" fillId="0" borderId="17" xfId="0" applyFont="1" applyBorder="1" applyAlignment="1" applyProtection="1">
      <alignment horizontal="left" vertical="top"/>
      <protection locked="0"/>
    </xf>
    <xf numFmtId="2" fontId="39" fillId="0" borderId="0" xfId="0" applyNumberFormat="1" applyFont="1" applyAlignment="1">
      <alignment wrapText="1"/>
    </xf>
    <xf numFmtId="2" fontId="5" fillId="0" borderId="20" xfId="0" applyNumberFormat="1" applyFont="1" applyBorder="1" applyAlignment="1" applyProtection="1">
      <alignment horizontal="right" vertical="top"/>
      <protection locked="0"/>
    </xf>
    <xf numFmtId="0" fontId="3" fillId="0" borderId="17" xfId="2" applyBorder="1"/>
    <xf numFmtId="0" fontId="46" fillId="0" borderId="0" xfId="0" applyFont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quotePrefix="1" applyFont="1" applyBorder="1" applyAlignment="1">
      <alignment horizontal="center" vertical="center"/>
    </xf>
    <xf numFmtId="0" fontId="29" fillId="0" borderId="0" xfId="0" applyFont="1" applyAlignment="1">
      <alignment vertical="top" wrapText="1"/>
    </xf>
    <xf numFmtId="4" fontId="15" fillId="0" borderId="0" xfId="0" applyNumberFormat="1" applyFont="1" applyAlignment="1" applyProtection="1">
      <alignment horizontal="right" wrapText="1"/>
      <protection locked="0"/>
    </xf>
    <xf numFmtId="0" fontId="3" fillId="0" borderId="17" xfId="0" applyFont="1" applyBorder="1" applyAlignment="1">
      <alignment horizontal="center" vertical="top"/>
    </xf>
    <xf numFmtId="49" fontId="29" fillId="0" borderId="18" xfId="0" quotePrefix="1" applyNumberFormat="1" applyFont="1" applyBorder="1" applyAlignment="1">
      <alignment horizontal="left" vertical="top"/>
    </xf>
    <xf numFmtId="0" fontId="29" fillId="0" borderId="0" xfId="0" applyFont="1" applyAlignment="1">
      <alignment wrapText="1"/>
    </xf>
    <xf numFmtId="49" fontId="48" fillId="0" borderId="18" xfId="0" applyNumberFormat="1" applyFont="1" applyBorder="1" applyAlignment="1">
      <alignment vertical="top"/>
    </xf>
    <xf numFmtId="0" fontId="40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2" applyAlignment="1">
      <alignment vertical="top" wrapText="1"/>
    </xf>
    <xf numFmtId="4" fontId="15" fillId="0" borderId="0" xfId="0" applyNumberFormat="1" applyFont="1" applyAlignment="1">
      <alignment horizontal="right" vertical="center" wrapText="1"/>
    </xf>
    <xf numFmtId="43" fontId="24" fillId="0" borderId="0" xfId="1" applyFont="1" applyAlignment="1">
      <alignment horizontal="right" vertical="center" wrapText="1"/>
    </xf>
    <xf numFmtId="4" fontId="7" fillId="0" borderId="0" xfId="0" applyNumberFormat="1" applyFont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4" fontId="18" fillId="0" borderId="0" xfId="0" applyNumberFormat="1" applyFont="1" applyAlignment="1" applyProtection="1">
      <alignment horizontal="right" wrapText="1"/>
      <protection locked="0"/>
    </xf>
    <xf numFmtId="4" fontId="7" fillId="0" borderId="25" xfId="0" applyNumberFormat="1" applyFont="1" applyBorder="1" applyAlignment="1" applyProtection="1">
      <alignment horizontal="right" vertical="center" wrapText="1"/>
      <protection locked="0"/>
    </xf>
    <xf numFmtId="0" fontId="23" fillId="0" borderId="0" xfId="0" applyFont="1" applyAlignment="1">
      <alignment wrapText="1"/>
    </xf>
    <xf numFmtId="4" fontId="15" fillId="0" borderId="25" xfId="0" applyNumberFormat="1" applyFont="1" applyBorder="1" applyAlignment="1" applyProtection="1">
      <alignment horizontal="right" vertical="center" wrapText="1"/>
      <protection locked="0"/>
    </xf>
    <xf numFmtId="49" fontId="3" fillId="0" borderId="18" xfId="0" quotePrefix="1" applyNumberFormat="1" applyFont="1" applyBorder="1" applyAlignment="1">
      <alignment horizontal="left" vertical="center"/>
    </xf>
    <xf numFmtId="165" fontId="4" fillId="0" borderId="18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wrapText="1"/>
    </xf>
    <xf numFmtId="4" fontId="3" fillId="0" borderId="19" xfId="0" applyNumberFormat="1" applyFont="1" applyBorder="1" applyAlignment="1">
      <alignment vertical="center"/>
    </xf>
    <xf numFmtId="2" fontId="29" fillId="0" borderId="0" xfId="0" applyNumberFormat="1" applyFont="1" applyAlignment="1">
      <alignment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top" wrapText="1"/>
    </xf>
    <xf numFmtId="2" fontId="4" fillId="0" borderId="0" xfId="0" applyNumberFormat="1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4" fillId="0" borderId="18" xfId="0" applyNumberFormat="1" applyFont="1" applyBorder="1" applyAlignment="1">
      <alignment horizontal="left" wrapText="1"/>
    </xf>
    <xf numFmtId="49" fontId="29" fillId="0" borderId="18" xfId="0" applyNumberFormat="1" applyFont="1" applyBorder="1" applyAlignment="1" applyProtection="1">
      <alignment horizontal="left" vertical="top"/>
      <protection locked="0"/>
    </xf>
    <xf numFmtId="49" fontId="3" fillId="0" borderId="18" xfId="0" applyNumberFormat="1" applyFont="1" applyBorder="1" applyAlignment="1">
      <alignment horizontal="left" wrapText="1"/>
    </xf>
    <xf numFmtId="4" fontId="7" fillId="0" borderId="0" xfId="0" applyNumberFormat="1" applyFont="1" applyAlignment="1">
      <alignment horizontal="left" vertical="top" wrapText="1"/>
    </xf>
    <xf numFmtId="164" fontId="29" fillId="0" borderId="0" xfId="0" applyNumberFormat="1" applyFont="1" applyAlignment="1" applyProtection="1">
      <alignment horizontal="left" vertical="top" wrapText="1"/>
      <protection locked="0"/>
    </xf>
    <xf numFmtId="165" fontId="29" fillId="0" borderId="18" xfId="0" applyNumberFormat="1" applyFont="1" applyBorder="1" applyAlignment="1" applyProtection="1">
      <alignment horizontal="left" vertical="top" wrapText="1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  <xf numFmtId="0" fontId="5" fillId="0" borderId="17" xfId="2" applyFont="1" applyBorder="1" applyAlignment="1">
      <alignment horizontal="center" vertical="top"/>
    </xf>
    <xf numFmtId="0" fontId="4" fillId="0" borderId="25" xfId="2" applyFont="1" applyBorder="1" applyAlignment="1">
      <alignment wrapText="1"/>
    </xf>
    <xf numFmtId="0" fontId="4" fillId="0" borderId="18" xfId="2" applyFont="1" applyBorder="1" applyAlignment="1">
      <alignment horizontal="center" vertical="top"/>
    </xf>
    <xf numFmtId="2" fontId="4" fillId="0" borderId="19" xfId="2" applyNumberFormat="1" applyFont="1" applyBorder="1" applyAlignment="1">
      <alignment horizontal="right" vertical="top" wrapText="1"/>
    </xf>
    <xf numFmtId="0" fontId="3" fillId="0" borderId="18" xfId="2" applyBorder="1" applyAlignment="1">
      <alignment horizontal="center" vertical="top"/>
    </xf>
    <xf numFmtId="2" fontId="3" fillId="0" borderId="19" xfId="2" applyNumberFormat="1" applyBorder="1" applyAlignment="1">
      <alignment horizontal="right" vertical="top" wrapText="1"/>
    </xf>
    <xf numFmtId="0" fontId="3" fillId="0" borderId="25" xfId="2" applyBorder="1" applyAlignment="1">
      <alignment wrapText="1"/>
    </xf>
    <xf numFmtId="164" fontId="3" fillId="0" borderId="18" xfId="2" applyNumberFormat="1" applyBorder="1" applyAlignment="1">
      <alignment horizontal="left" vertical="top"/>
    </xf>
    <xf numFmtId="165" fontId="3" fillId="0" borderId="18" xfId="2" applyNumberFormat="1" applyBorder="1" applyAlignment="1">
      <alignment horizontal="left" vertical="top"/>
    </xf>
    <xf numFmtId="2" fontId="3" fillId="0" borderId="19" xfId="2" applyNumberFormat="1" applyBorder="1" applyAlignment="1">
      <alignment vertical="top"/>
    </xf>
    <xf numFmtId="164" fontId="3" fillId="0" borderId="0" xfId="0" applyNumberFormat="1" applyFont="1" applyAlignment="1">
      <alignment horizontal="left" vertical="top"/>
    </xf>
    <xf numFmtId="49" fontId="17" fillId="0" borderId="0" xfId="0" applyNumberFormat="1" applyFont="1" applyAlignment="1" applyProtection="1">
      <alignment horizontal="left" vertical="top" indent="1"/>
      <protection locked="0"/>
    </xf>
    <xf numFmtId="0" fontId="3" fillId="0" borderId="8" xfId="0" applyFont="1" applyBorder="1" applyAlignment="1">
      <alignment horizontal="left" wrapText="1"/>
    </xf>
    <xf numFmtId="2" fontId="53" fillId="0" borderId="0" xfId="0" applyNumberFormat="1" applyFont="1" applyAlignment="1">
      <alignment vertical="top"/>
    </xf>
    <xf numFmtId="0" fontId="52" fillId="0" borderId="18" xfId="0" applyFont="1" applyBorder="1" applyAlignment="1">
      <alignment vertical="top"/>
    </xf>
    <xf numFmtId="0" fontId="52" fillId="0" borderId="0" xfId="0" applyFont="1" applyAlignment="1">
      <alignment vertical="top"/>
    </xf>
    <xf numFmtId="0" fontId="3" fillId="0" borderId="17" xfId="0" applyFont="1" applyBorder="1" applyAlignment="1">
      <alignment horizontal="left" wrapText="1"/>
    </xf>
    <xf numFmtId="2" fontId="4" fillId="0" borderId="19" xfId="0" applyNumberFormat="1" applyFont="1" applyBorder="1" applyAlignment="1">
      <alignment horizontal="right" vertical="top"/>
    </xf>
    <xf numFmtId="49" fontId="29" fillId="0" borderId="25" xfId="0" applyNumberFormat="1" applyFont="1" applyBorder="1" applyAlignment="1" applyProtection="1">
      <alignment horizontal="left" vertical="top"/>
      <protection locked="0"/>
    </xf>
    <xf numFmtId="0" fontId="29" fillId="0" borderId="17" xfId="0" applyFont="1" applyBorder="1" applyAlignment="1">
      <alignment horizontal="center" vertical="top"/>
    </xf>
    <xf numFmtId="2" fontId="3" fillId="0" borderId="0" xfId="0" applyNumberFormat="1" applyFont="1" applyAlignment="1">
      <alignment horizontal="center" vertical="center" wrapText="1"/>
    </xf>
    <xf numFmtId="1" fontId="4" fillId="0" borderId="17" xfId="0" quotePrefix="1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right" vertical="center"/>
    </xf>
    <xf numFmtId="2" fontId="3" fillId="0" borderId="19" xfId="0" applyNumberFormat="1" applyFont="1" applyBorder="1" applyAlignment="1">
      <alignment horizontal="right" vertical="center"/>
    </xf>
    <xf numFmtId="2" fontId="18" fillId="0" borderId="0" xfId="0" applyNumberFormat="1" applyFont="1" applyAlignment="1">
      <alignment horizontal="right" vertical="top"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top" wrapText="1"/>
    </xf>
    <xf numFmtId="2" fontId="3" fillId="0" borderId="19" xfId="0" applyNumberFormat="1" applyFont="1" applyBorder="1" applyAlignment="1">
      <alignment horizontal="right" vertical="center" wrapText="1"/>
    </xf>
    <xf numFmtId="1" fontId="4" fillId="0" borderId="23" xfId="0" quotePrefix="1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21" xfId="0" quotePrefix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right" vertical="center" wrapText="1"/>
    </xf>
    <xf numFmtId="2" fontId="54" fillId="0" borderId="0" xfId="0" applyNumberFormat="1" applyFont="1" applyAlignment="1">
      <alignment horizontal="right" vertical="top" wrapText="1"/>
    </xf>
    <xf numFmtId="0" fontId="3" fillId="0" borderId="21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2" fontId="3" fillId="0" borderId="2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8" xfId="0" quotePrefix="1" applyNumberFormat="1" applyFont="1" applyBorder="1" applyAlignment="1" applyProtection="1">
      <alignment horizontal="left" vertical="top"/>
      <protection hidden="1"/>
    </xf>
    <xf numFmtId="49" fontId="4" fillId="0" borderId="18" xfId="0" applyNumberFormat="1" applyFont="1" applyBorder="1" applyAlignment="1" applyProtection="1">
      <alignment horizontal="left" vertical="top"/>
      <protection hidden="1"/>
    </xf>
    <xf numFmtId="0" fontId="4" fillId="0" borderId="0" xfId="0" applyFont="1" applyAlignment="1" applyProtection="1">
      <alignment vertical="top" wrapText="1"/>
      <protection hidden="1"/>
    </xf>
    <xf numFmtId="2" fontId="4" fillId="0" borderId="0" xfId="0" applyNumberFormat="1" applyFont="1" applyAlignment="1" applyProtection="1">
      <alignment wrapText="1"/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4" fontId="4" fillId="0" borderId="19" xfId="0" applyNumberFormat="1" applyFont="1" applyBorder="1" applyAlignment="1" applyProtection="1">
      <alignment horizontal="right" vertical="center" wrapText="1"/>
      <protection hidden="1"/>
    </xf>
    <xf numFmtId="49" fontId="3" fillId="0" borderId="18" xfId="0" applyNumberFormat="1" applyFont="1" applyBorder="1" applyAlignment="1" applyProtection="1">
      <alignment horizontal="left" vertical="top"/>
      <protection hidden="1"/>
    </xf>
    <xf numFmtId="49" fontId="3" fillId="0" borderId="18" xfId="0" quotePrefix="1" applyNumberFormat="1" applyFont="1" applyBorder="1" applyAlignment="1" applyProtection="1">
      <alignment horizontal="left"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2" fontId="3" fillId="0" borderId="0" xfId="0" applyNumberFormat="1" applyFont="1" applyAlignment="1" applyProtection="1">
      <alignment wrapText="1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4" fontId="3" fillId="0" borderId="19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vertical="top" wrapText="1"/>
      <protection hidden="1"/>
    </xf>
    <xf numFmtId="2" fontId="7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vertical="top" wrapText="1"/>
      <protection hidden="1"/>
    </xf>
    <xf numFmtId="2" fontId="55" fillId="0" borderId="0" xfId="0" applyNumberFormat="1" applyFont="1" applyAlignment="1" applyProtection="1">
      <alignment wrapText="1"/>
      <protection hidden="1"/>
    </xf>
    <xf numFmtId="4" fontId="3" fillId="0" borderId="19" xfId="0" applyNumberFormat="1" applyFont="1" applyBorder="1" applyAlignment="1" applyProtection="1">
      <alignment horizontal="right" vertical="center"/>
      <protection hidden="1"/>
    </xf>
    <xf numFmtId="4" fontId="4" fillId="0" borderId="19" xfId="0" applyNumberFormat="1" applyFont="1" applyBorder="1" applyAlignment="1" applyProtection="1">
      <alignment horizontal="right" vertical="center"/>
      <protection hidden="1"/>
    </xf>
    <xf numFmtId="164" fontId="3" fillId="0" borderId="8" xfId="0" applyNumberFormat="1" applyFont="1" applyBorder="1" applyAlignment="1">
      <alignment horizontal="left" vertical="top"/>
    </xf>
    <xf numFmtId="165" fontId="3" fillId="0" borderId="8" xfId="0" applyNumberFormat="1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/>
    </xf>
    <xf numFmtId="0" fontId="56" fillId="0" borderId="0" xfId="0" applyFont="1"/>
    <xf numFmtId="0" fontId="29" fillId="0" borderId="21" xfId="0" applyFont="1" applyBorder="1" applyAlignment="1">
      <alignment horizontal="center" vertical="center" wrapText="1"/>
    </xf>
    <xf numFmtId="2" fontId="15" fillId="0" borderId="0" xfId="0" applyNumberFormat="1" applyFont="1" applyAlignment="1" applyProtection="1">
      <alignment vertical="top" wrapText="1"/>
      <protection hidden="1"/>
    </xf>
    <xf numFmtId="2" fontId="15" fillId="0" borderId="0" xfId="0" applyNumberFormat="1" applyFont="1" applyAlignment="1" applyProtection="1">
      <alignment wrapText="1"/>
      <protection hidden="1"/>
    </xf>
    <xf numFmtId="1" fontId="4" fillId="0" borderId="17" xfId="0" quotePrefix="1" applyNumberFormat="1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left" wrapText="1"/>
      <protection hidden="1"/>
    </xf>
    <xf numFmtId="0" fontId="17" fillId="0" borderId="21" xfId="0" applyFont="1" applyBorder="1" applyAlignment="1" applyProtection="1">
      <alignment vertical="top" wrapText="1"/>
      <protection hidden="1"/>
    </xf>
    <xf numFmtId="4" fontId="17" fillId="0" borderId="0" xfId="0" applyNumberFormat="1" applyFont="1" applyAlignment="1" applyProtection="1">
      <alignment vertical="top" wrapText="1"/>
      <protection hidden="1"/>
    </xf>
    <xf numFmtId="4" fontId="23" fillId="0" borderId="0" xfId="0" applyNumberFormat="1" applyFont="1" applyAlignment="1" applyProtection="1">
      <alignment vertical="top" wrapText="1"/>
      <protection hidden="1"/>
    </xf>
    <xf numFmtId="0" fontId="17" fillId="0" borderId="0" xfId="0" applyFont="1" applyAlignment="1" applyProtection="1">
      <alignment vertical="top" wrapText="1"/>
      <protection hidden="1"/>
    </xf>
    <xf numFmtId="0" fontId="3" fillId="0" borderId="0" xfId="2" applyAlignment="1">
      <alignment horizontal="left" vertical="top"/>
    </xf>
    <xf numFmtId="0" fontId="4" fillId="0" borderId="0" xfId="2" applyFont="1" applyAlignment="1">
      <alignment horizontal="center"/>
    </xf>
    <xf numFmtId="0" fontId="4" fillId="0" borderId="0" xfId="2" applyFont="1"/>
    <xf numFmtId="0" fontId="5" fillId="0" borderId="0" xfId="2" applyFont="1"/>
    <xf numFmtId="0" fontId="3" fillId="0" borderId="0" xfId="2"/>
    <xf numFmtId="0" fontId="3" fillId="0" borderId="1" xfId="2" applyBorder="1" applyAlignment="1">
      <alignment horizontal="left"/>
    </xf>
    <xf numFmtId="1" fontId="4" fillId="0" borderId="0" xfId="2" applyNumberFormat="1" applyFont="1" applyAlignment="1">
      <alignment horizontal="left" vertical="top"/>
    </xf>
    <xf numFmtId="0" fontId="3" fillId="0" borderId="3" xfId="2" applyBorder="1" applyAlignment="1">
      <alignment horizontal="centerContinuous"/>
    </xf>
    <xf numFmtId="0" fontId="3" fillId="0" borderId="7" xfId="2" applyBorder="1" applyAlignment="1">
      <alignment horizontal="center" vertical="top"/>
    </xf>
    <xf numFmtId="0" fontId="3" fillId="0" borderId="8" xfId="2" applyBorder="1" applyAlignment="1">
      <alignment horizontal="center"/>
    </xf>
    <xf numFmtId="0" fontId="4" fillId="0" borderId="13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center" vertical="top" wrapText="1"/>
    </xf>
    <xf numFmtId="0" fontId="4" fillId="0" borderId="14" xfId="2" applyFont="1" applyBorder="1" applyAlignment="1">
      <alignment horizontal="center" vertical="top" wrapText="1"/>
    </xf>
    <xf numFmtId="0" fontId="3" fillId="0" borderId="14" xfId="2" applyBorder="1" applyAlignment="1">
      <alignment horizontal="center" vertical="top" wrapText="1"/>
    </xf>
    <xf numFmtId="0" fontId="3" fillId="0" borderId="4" xfId="2" applyBorder="1" applyAlignment="1">
      <alignment horizontal="center" vertical="top" wrapText="1"/>
    </xf>
    <xf numFmtId="49" fontId="4" fillId="0" borderId="21" xfId="0" applyNumberFormat="1" applyFont="1" applyBorder="1" applyAlignment="1">
      <alignment vertical="top"/>
    </xf>
    <xf numFmtId="49" fontId="3" fillId="0" borderId="18" xfId="0" applyNumberFormat="1" applyFont="1" applyBorder="1" applyAlignment="1" applyProtection="1">
      <alignment vertical="top" wrapText="1"/>
      <protection locked="0"/>
    </xf>
    <xf numFmtId="49" fontId="48" fillId="0" borderId="21" xfId="0" applyNumberFormat="1" applyFont="1" applyBorder="1" applyAlignment="1" applyProtection="1">
      <alignment horizontal="center" vertical="top" wrapText="1"/>
      <protection locked="0"/>
    </xf>
    <xf numFmtId="49" fontId="3" fillId="0" borderId="18" xfId="0" applyNumberFormat="1" applyFont="1" applyBorder="1" applyAlignment="1">
      <alignment vertical="top" wrapText="1"/>
    </xf>
    <xf numFmtId="49" fontId="57" fillId="0" borderId="18" xfId="0" applyNumberFormat="1" applyFont="1" applyBorder="1" applyAlignment="1">
      <alignment wrapText="1"/>
    </xf>
    <xf numFmtId="49" fontId="3" fillId="0" borderId="18" xfId="0" applyNumberFormat="1" applyFont="1" applyBorder="1" applyAlignment="1">
      <alignment vertical="top"/>
    </xf>
    <xf numFmtId="49" fontId="4" fillId="0" borderId="25" xfId="0" applyNumberFormat="1" applyFont="1" applyBorder="1" applyAlignment="1">
      <alignment vertical="top"/>
    </xf>
    <xf numFmtId="0" fontId="3" fillId="0" borderId="17" xfId="2" applyBorder="1" applyAlignment="1">
      <alignment vertical="top" wrapText="1"/>
    </xf>
    <xf numFmtId="0" fontId="3" fillId="0" borderId="25" xfId="2" applyBorder="1" applyAlignment="1">
      <alignment horizontal="left" vertical="top" wrapText="1"/>
    </xf>
    <xf numFmtId="49" fontId="3" fillId="0" borderId="18" xfId="2" applyNumberFormat="1" applyBorder="1" applyAlignment="1">
      <alignment horizontal="left" vertical="top"/>
    </xf>
    <xf numFmtId="49" fontId="3" fillId="0" borderId="18" xfId="2" quotePrefix="1" applyNumberFormat="1" applyBorder="1" applyAlignment="1">
      <alignment horizontal="left" vertical="top"/>
    </xf>
    <xf numFmtId="49" fontId="4" fillId="0" borderId="18" xfId="2" applyNumberFormat="1" applyFont="1" applyBorder="1" applyAlignment="1">
      <alignment horizontal="left" wrapText="1"/>
    </xf>
    <xf numFmtId="49" fontId="3" fillId="0" borderId="18" xfId="2" applyNumberFormat="1" applyBorder="1" applyAlignment="1">
      <alignment vertical="top" wrapText="1"/>
    </xf>
    <xf numFmtId="0" fontId="3" fillId="0" borderId="18" xfId="2" applyBorder="1" applyAlignment="1">
      <alignment horizontal="center" vertical="top" wrapText="1"/>
    </xf>
    <xf numFmtId="49" fontId="4" fillId="0" borderId="18" xfId="2" quotePrefix="1" applyNumberFormat="1" applyFont="1" applyBorder="1" applyAlignment="1">
      <alignment horizontal="left" vertical="top"/>
    </xf>
    <xf numFmtId="49" fontId="4" fillId="0" borderId="18" xfId="2" applyNumberFormat="1" applyFont="1" applyBorder="1" applyAlignment="1">
      <alignment horizontal="left" vertical="top"/>
    </xf>
    <xf numFmtId="0" fontId="4" fillId="0" borderId="0" xfId="2" applyFont="1" applyAlignment="1">
      <alignment vertical="top" wrapText="1"/>
    </xf>
    <xf numFmtId="0" fontId="4" fillId="0" borderId="17" xfId="2" applyFont="1" applyBorder="1" applyAlignment="1">
      <alignment horizontal="center" vertical="top" wrapText="1"/>
    </xf>
    <xf numFmtId="0" fontId="4" fillId="0" borderId="25" xfId="2" applyFont="1" applyBorder="1" applyAlignment="1">
      <alignment horizontal="left" wrapText="1"/>
    </xf>
    <xf numFmtId="0" fontId="3" fillId="0" borderId="25" xfId="2" applyBorder="1" applyAlignment="1">
      <alignment horizontal="left" wrapText="1"/>
    </xf>
    <xf numFmtId="0" fontId="4" fillId="0" borderId="25" xfId="2" applyFont="1" applyBorder="1" applyAlignment="1">
      <alignment horizontal="center" vertical="top" wrapText="1"/>
    </xf>
    <xf numFmtId="0" fontId="4" fillId="0" borderId="18" xfId="2" applyFont="1" applyBorder="1" applyAlignment="1">
      <alignment horizontal="left" vertical="top" wrapText="1"/>
    </xf>
    <xf numFmtId="0" fontId="47" fillId="0" borderId="17" xfId="0" applyFont="1" applyBorder="1"/>
    <xf numFmtId="0" fontId="4" fillId="0" borderId="0" xfId="2" applyFont="1" applyAlignment="1">
      <alignment wrapText="1"/>
    </xf>
    <xf numFmtId="0" fontId="3" fillId="0" borderId="0" xfId="2" applyAlignment="1">
      <alignment wrapText="1"/>
    </xf>
    <xf numFmtId="0" fontId="9" fillId="0" borderId="17" xfId="2" applyFont="1" applyBorder="1"/>
    <xf numFmtId="0" fontId="9" fillId="0" borderId="25" xfId="2" applyFont="1" applyBorder="1"/>
    <xf numFmtId="0" fontId="9" fillId="0" borderId="18" xfId="2" applyFont="1" applyBorder="1" applyAlignment="1">
      <alignment horizontal="left"/>
    </xf>
    <xf numFmtId="0" fontId="9" fillId="0" borderId="18" xfId="2" applyFont="1" applyBorder="1" applyAlignment="1">
      <alignment vertical="top"/>
    </xf>
    <xf numFmtId="0" fontId="9" fillId="0" borderId="0" xfId="2" applyFont="1"/>
    <xf numFmtId="2" fontId="17" fillId="0" borderId="0" xfId="2" applyNumberFormat="1" applyFont="1" applyAlignment="1" applyProtection="1">
      <alignment horizontal="right" vertical="top" wrapText="1"/>
      <protection locked="0"/>
    </xf>
    <xf numFmtId="0" fontId="9" fillId="0" borderId="25" xfId="2" applyFont="1" applyBorder="1" applyAlignment="1">
      <alignment horizontal="left"/>
    </xf>
    <xf numFmtId="49" fontId="48" fillId="0" borderId="25" xfId="0" applyNumberFormat="1" applyFont="1" applyBorder="1" applyAlignment="1">
      <alignment vertical="top"/>
    </xf>
    <xf numFmtId="2" fontId="17" fillId="0" borderId="0" xfId="0" applyNumberFormat="1" applyFont="1" applyAlignment="1" applyProtection="1">
      <alignment horizontal="right" vertical="top" wrapText="1"/>
      <protection locked="0"/>
    </xf>
    <xf numFmtId="164" fontId="4" fillId="0" borderId="18" xfId="2" applyNumberFormat="1" applyFont="1" applyBorder="1" applyAlignment="1">
      <alignment horizontal="left" vertical="top"/>
    </xf>
    <xf numFmtId="165" fontId="4" fillId="0" borderId="18" xfId="2" applyNumberFormat="1" applyFont="1" applyBorder="1" applyAlignment="1">
      <alignment horizontal="left" vertical="top"/>
    </xf>
    <xf numFmtId="2" fontId="17" fillId="0" borderId="25" xfId="0" applyNumberFormat="1" applyFont="1" applyBorder="1" applyAlignment="1" applyProtection="1">
      <alignment horizontal="right" vertical="top" wrapText="1"/>
      <protection locked="0"/>
    </xf>
    <xf numFmtId="2" fontId="23" fillId="0" borderId="25" xfId="0" applyNumberFormat="1" applyFont="1" applyBorder="1" applyAlignment="1" applyProtection="1">
      <alignment horizontal="right" vertical="top" wrapText="1"/>
      <protection locked="0"/>
    </xf>
    <xf numFmtId="0" fontId="47" fillId="0" borderId="23" xfId="0" applyFont="1" applyBorder="1"/>
    <xf numFmtId="49" fontId="48" fillId="0" borderId="10" xfId="0" applyNumberFormat="1" applyFont="1" applyBorder="1" applyAlignment="1">
      <alignment vertical="top"/>
    </xf>
    <xf numFmtId="165" fontId="3" fillId="0" borderId="10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 applyProtection="1">
      <alignment horizontal="left" vertical="top" wrapText="1" indent="1"/>
      <protection locked="0"/>
    </xf>
    <xf numFmtId="0" fontId="52" fillId="0" borderId="17" xfId="0" applyFont="1" applyBorder="1" applyAlignment="1">
      <alignment vertical="top"/>
    </xf>
    <xf numFmtId="49" fontId="52" fillId="0" borderId="25" xfId="0" applyNumberFormat="1" applyFont="1" applyBorder="1" applyAlignment="1">
      <alignment vertical="top"/>
    </xf>
    <xf numFmtId="49" fontId="4" fillId="0" borderId="17" xfId="0" applyNumberFormat="1" applyFont="1" applyBorder="1" applyAlignment="1">
      <alignment vertical="top"/>
    </xf>
    <xf numFmtId="0" fontId="59" fillId="0" borderId="0" xfId="0" applyFont="1"/>
    <xf numFmtId="49" fontId="17" fillId="0" borderId="0" xfId="0" applyNumberFormat="1" applyFont="1" applyAlignment="1" applyProtection="1">
      <alignment horizontal="left" vertical="top"/>
      <protection locked="0"/>
    </xf>
    <xf numFmtId="0" fontId="3" fillId="0" borderId="17" xfId="0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7" fillId="0" borderId="0" xfId="2" applyNumberFormat="1" applyFont="1" applyAlignment="1" applyProtection="1">
      <alignment horizontal="left" vertical="top" wrapText="1"/>
      <protection locked="0"/>
    </xf>
    <xf numFmtId="0" fontId="29" fillId="0" borderId="23" xfId="0" applyFont="1" applyBorder="1" applyAlignment="1" applyProtection="1">
      <alignment horizontal="left" vertical="top"/>
      <protection locked="0"/>
    </xf>
    <xf numFmtId="49" fontId="29" fillId="0" borderId="8" xfId="0" applyNumberFormat="1" applyFont="1" applyBorder="1" applyAlignment="1" applyProtection="1">
      <alignment horizontal="left" vertical="top"/>
      <protection locked="0"/>
    </xf>
    <xf numFmtId="164" fontId="29" fillId="0" borderId="1" xfId="0" applyNumberFormat="1" applyFont="1" applyBorder="1" applyAlignment="1" applyProtection="1">
      <alignment horizontal="left" vertical="top" wrapText="1"/>
      <protection locked="0"/>
    </xf>
    <xf numFmtId="165" fontId="29" fillId="0" borderId="8" xfId="0" applyNumberFormat="1" applyFont="1" applyBorder="1" applyAlignment="1" applyProtection="1">
      <alignment horizontal="left" vertical="top" wrapText="1"/>
      <protection locked="0"/>
    </xf>
    <xf numFmtId="49" fontId="7" fillId="0" borderId="1" xfId="0" applyNumberFormat="1" applyFont="1" applyBorder="1" applyAlignment="1">
      <alignment horizontal="left" vertical="top" wrapText="1"/>
    </xf>
    <xf numFmtId="2" fontId="17" fillId="0" borderId="10" xfId="0" applyNumberFormat="1" applyFont="1" applyBorder="1" applyAlignment="1" applyProtection="1">
      <alignment horizontal="righ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29" fillId="0" borderId="0" xfId="0" applyFont="1" applyAlignment="1" applyProtection="1">
      <alignment horizontal="left" vertical="top"/>
      <protection locked="0"/>
    </xf>
    <xf numFmtId="49" fontId="29" fillId="0" borderId="0" xfId="0" applyNumberFormat="1" applyFont="1" applyAlignment="1" applyProtection="1">
      <alignment horizontal="left" vertical="top"/>
      <protection locked="0"/>
    </xf>
    <xf numFmtId="165" fontId="29" fillId="0" borderId="0" xfId="0" applyNumberFormat="1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>
      <alignment wrapText="1"/>
    </xf>
    <xf numFmtId="0" fontId="52" fillId="0" borderId="25" xfId="0" applyFont="1" applyBorder="1" applyAlignment="1">
      <alignment vertical="top"/>
    </xf>
    <xf numFmtId="0" fontId="5" fillId="0" borderId="17" xfId="18" applyFont="1" applyBorder="1" applyAlignment="1">
      <alignment horizontal="center" vertical="top"/>
    </xf>
    <xf numFmtId="49" fontId="6" fillId="0" borderId="25" xfId="0" applyNumberFormat="1" applyFont="1" applyBorder="1" applyAlignment="1">
      <alignment horizontal="left" vertical="top"/>
    </xf>
    <xf numFmtId="2" fontId="3" fillId="0" borderId="19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49" fontId="3" fillId="0" borderId="8" xfId="0" applyNumberFormat="1" applyFont="1" applyBorder="1" applyAlignment="1">
      <alignment horizontal="center"/>
    </xf>
    <xf numFmtId="0" fontId="60" fillId="0" borderId="0" xfId="0" applyFont="1"/>
    <xf numFmtId="4" fontId="17" fillId="0" borderId="0" xfId="2" applyNumberFormat="1" applyFont="1" applyAlignment="1">
      <alignment vertical="center" wrapText="1"/>
    </xf>
    <xf numFmtId="0" fontId="7" fillId="0" borderId="0" xfId="2" applyFont="1" applyAlignment="1" applyProtection="1">
      <alignment horizontal="left" vertical="top" wrapText="1" indent="1"/>
      <protection locked="0"/>
    </xf>
    <xf numFmtId="0" fontId="7" fillId="0" borderId="0" xfId="2" applyFont="1" applyAlignment="1">
      <alignment vertical="top" wrapText="1"/>
    </xf>
    <xf numFmtId="2" fontId="23" fillId="0" borderId="25" xfId="3" applyNumberFormat="1" applyFont="1" applyBorder="1" applyAlignment="1">
      <alignment vertical="center" wrapText="1"/>
    </xf>
    <xf numFmtId="0" fontId="17" fillId="0" borderId="0" xfId="2" applyFont="1" applyAlignment="1">
      <alignment vertical="top" wrapText="1"/>
    </xf>
    <xf numFmtId="49" fontId="5" fillId="0" borderId="18" xfId="0" applyNumberFormat="1" applyFont="1" applyBorder="1" applyAlignment="1">
      <alignment vertical="top"/>
    </xf>
    <xf numFmtId="0" fontId="5" fillId="0" borderId="0" xfId="0" applyFont="1" applyAlignment="1">
      <alignment vertical="top" wrapText="1"/>
    </xf>
    <xf numFmtId="4" fontId="4" fillId="0" borderId="0" xfId="0" applyNumberFormat="1" applyFont="1"/>
    <xf numFmtId="4" fontId="3" fillId="0" borderId="0" xfId="2" applyNumberFormat="1" applyAlignment="1">
      <alignment vertical="center"/>
    </xf>
    <xf numFmtId="0" fontId="3" fillId="0" borderId="0" xfId="2" applyAlignment="1">
      <alignment horizontal="center" vertical="center"/>
    </xf>
    <xf numFmtId="3" fontId="3" fillId="0" borderId="0" xfId="2" applyNumberFormat="1" applyAlignment="1">
      <alignment vertical="center"/>
    </xf>
    <xf numFmtId="0" fontId="3" fillId="0" borderId="0" xfId="2" applyAlignment="1">
      <alignment vertical="center"/>
    </xf>
    <xf numFmtId="0" fontId="3" fillId="0" borderId="1" xfId="2" applyBorder="1" applyAlignment="1">
      <alignment horizontal="center" vertical="center"/>
    </xf>
    <xf numFmtId="3" fontId="3" fillId="0" borderId="0" xfId="2" applyNumberFormat="1" applyAlignment="1">
      <alignment horizontal="right" vertical="center"/>
    </xf>
    <xf numFmtId="4" fontId="3" fillId="0" borderId="15" xfId="2" applyNumberFormat="1" applyBorder="1" applyAlignment="1">
      <alignment vertical="center" wrapText="1"/>
    </xf>
    <xf numFmtId="0" fontId="3" fillId="0" borderId="14" xfId="2" quotePrefix="1" applyBorder="1" applyAlignment="1">
      <alignment horizontal="center" vertical="center" wrapText="1"/>
    </xf>
    <xf numFmtId="2" fontId="31" fillId="0" borderId="20" xfId="0" applyNumberFormat="1" applyFont="1" applyBorder="1" applyAlignment="1">
      <alignment vertical="center"/>
    </xf>
    <xf numFmtId="2" fontId="58" fillId="0" borderId="20" xfId="0" applyNumberFormat="1" applyFont="1" applyBorder="1" applyAlignment="1">
      <alignment vertical="center"/>
    </xf>
    <xf numFmtId="3" fontId="3" fillId="0" borderId="18" xfId="0" applyNumberFormat="1" applyFont="1" applyBorder="1" applyAlignment="1" applyProtection="1">
      <alignment horizontal="center" vertical="center" wrapText="1"/>
      <protection locked="0"/>
    </xf>
    <xf numFmtId="4" fontId="7" fillId="0" borderId="25" xfId="0" applyNumberFormat="1" applyFont="1" applyBorder="1" applyAlignment="1">
      <alignment horizontal="right" vertical="center" wrapText="1"/>
    </xf>
    <xf numFmtId="0" fontId="3" fillId="0" borderId="18" xfId="2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/>
    </xf>
    <xf numFmtId="0" fontId="3" fillId="0" borderId="18" xfId="2" applyBorder="1" applyAlignment="1">
      <alignment horizontal="center" vertical="center"/>
    </xf>
    <xf numFmtId="0" fontId="3" fillId="0" borderId="18" xfId="2" quotePrefix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2" fontId="7" fillId="0" borderId="25" xfId="2" applyNumberFormat="1" applyFont="1" applyBorder="1" applyAlignment="1" applyProtection="1">
      <alignment horizontal="right" vertical="center" wrapText="1"/>
      <protection locked="0"/>
    </xf>
    <xf numFmtId="0" fontId="9" fillId="0" borderId="18" xfId="2" applyFont="1" applyBorder="1" applyAlignment="1">
      <alignment vertical="center"/>
    </xf>
    <xf numFmtId="2" fontId="15" fillId="0" borderId="25" xfId="2" applyNumberFormat="1" applyFont="1" applyBorder="1" applyAlignment="1" applyProtection="1">
      <alignment horizontal="right" vertical="center" wrapText="1"/>
      <protection locked="0"/>
    </xf>
    <xf numFmtId="0" fontId="9" fillId="0" borderId="25" xfId="2" applyFont="1" applyBorder="1" applyAlignment="1">
      <alignment vertical="top"/>
    </xf>
    <xf numFmtId="165" fontId="3" fillId="0" borderId="0" xfId="0" applyNumberFormat="1" applyFont="1" applyAlignment="1">
      <alignment horizontal="left" vertical="top"/>
    </xf>
    <xf numFmtId="0" fontId="9" fillId="0" borderId="22" xfId="2" applyFont="1" applyBorder="1"/>
    <xf numFmtId="2" fontId="17" fillId="0" borderId="25" xfId="0" applyNumberFormat="1" applyFont="1" applyBorder="1" applyAlignment="1" applyProtection="1">
      <alignment horizontal="right" vertical="center" wrapText="1"/>
      <protection locked="0"/>
    </xf>
    <xf numFmtId="2" fontId="23" fillId="0" borderId="25" xfId="0" applyNumberFormat="1" applyFont="1" applyBorder="1" applyAlignment="1" applyProtection="1">
      <alignment horizontal="righ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/>
    </xf>
    <xf numFmtId="0" fontId="47" fillId="0" borderId="0" xfId="0" applyFont="1"/>
    <xf numFmtId="49" fontId="48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center"/>
    </xf>
    <xf numFmtId="2" fontId="29" fillId="0" borderId="16" xfId="2" applyNumberFormat="1" applyFont="1" applyBorder="1" applyAlignment="1">
      <alignment horizontal="center" vertical="center" wrapText="1"/>
    </xf>
    <xf numFmtId="3" fontId="31" fillId="0" borderId="19" xfId="0" applyNumberFormat="1" applyFont="1" applyBorder="1" applyAlignment="1" applyProtection="1">
      <alignment vertical="center"/>
      <protection locked="0"/>
    </xf>
    <xf numFmtId="3" fontId="5" fillId="0" borderId="19" xfId="0" applyNumberFormat="1" applyFont="1" applyBorder="1" applyAlignment="1" applyProtection="1">
      <alignment horizontal="right" vertical="center" wrapText="1"/>
      <protection locked="0"/>
    </xf>
    <xf numFmtId="2" fontId="5" fillId="0" borderId="19" xfId="2" applyNumberFormat="1" applyFont="1" applyBorder="1" applyAlignment="1">
      <alignment vertical="center"/>
    </xf>
    <xf numFmtId="4" fontId="5" fillId="0" borderId="19" xfId="0" applyNumberFormat="1" applyFont="1" applyBorder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 applyProtection="1">
      <alignment horizontal="right" vertical="center" wrapText="1"/>
      <protection locked="0"/>
    </xf>
    <xf numFmtId="2" fontId="29" fillId="0" borderId="19" xfId="2" applyNumberFormat="1" applyFont="1" applyBorder="1" applyAlignment="1">
      <alignment vertical="center"/>
    </xf>
    <xf numFmtId="2" fontId="29" fillId="0" borderId="19" xfId="0" applyNumberFormat="1" applyFont="1" applyBorder="1" applyAlignment="1">
      <alignment horizontal="right" vertical="top" wrapText="1"/>
    </xf>
    <xf numFmtId="3" fontId="29" fillId="0" borderId="19" xfId="0" applyNumberFormat="1" applyFont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>
      <alignment horizontal="right" vertical="center"/>
    </xf>
    <xf numFmtId="3" fontId="5" fillId="0" borderId="19" xfId="0" applyNumberFormat="1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2" fontId="29" fillId="0" borderId="19" xfId="0" applyNumberFormat="1" applyFont="1" applyBorder="1" applyAlignment="1">
      <alignment horizontal="right" vertical="center"/>
    </xf>
    <xf numFmtId="2" fontId="29" fillId="0" borderId="19" xfId="0" applyNumberFormat="1" applyFont="1" applyBorder="1" applyAlignment="1">
      <alignment vertical="center"/>
    </xf>
    <xf numFmtId="2" fontId="5" fillId="0" borderId="19" xfId="0" applyNumberFormat="1" applyFont="1" applyBorder="1" applyAlignment="1">
      <alignment vertical="center"/>
    </xf>
    <xf numFmtId="2" fontId="5" fillId="0" borderId="19" xfId="2" applyNumberFormat="1" applyFont="1" applyBorder="1" applyAlignment="1">
      <alignment horizontal="right" vertical="center" wrapText="1"/>
    </xf>
    <xf numFmtId="2" fontId="29" fillId="0" borderId="19" xfId="2" applyNumberFormat="1" applyFont="1" applyBorder="1" applyAlignment="1">
      <alignment horizontal="right" vertical="center" wrapText="1"/>
    </xf>
    <xf numFmtId="49" fontId="7" fillId="0" borderId="0" xfId="2" applyNumberFormat="1" applyFont="1" applyAlignment="1" applyProtection="1">
      <alignment horizontal="left" vertical="top" wrapText="1" indent="1"/>
      <protection locked="0"/>
    </xf>
    <xf numFmtId="4" fontId="7" fillId="0" borderId="0" xfId="2" applyNumberFormat="1" applyFont="1" applyAlignment="1" applyProtection="1">
      <alignment vertical="center" wrapText="1"/>
      <protection locked="0"/>
    </xf>
    <xf numFmtId="0" fontId="3" fillId="0" borderId="0" xfId="2" applyAlignment="1">
      <alignment vertical="center" wrapText="1"/>
    </xf>
    <xf numFmtId="49" fontId="7" fillId="0" borderId="0" xfId="2" applyNumberFormat="1" applyFont="1" applyAlignment="1" applyProtection="1">
      <alignment vertical="top" wrapText="1"/>
      <protection locked="0"/>
    </xf>
    <xf numFmtId="2" fontId="29" fillId="0" borderId="19" xfId="2" applyNumberFormat="1" applyFont="1" applyBorder="1" applyAlignment="1">
      <alignment vertical="center" wrapText="1"/>
    </xf>
    <xf numFmtId="0" fontId="3" fillId="0" borderId="0" xfId="2" applyAlignment="1">
      <alignment horizontal="center" vertical="top" wrapText="1"/>
    </xf>
    <xf numFmtId="4" fontId="7" fillId="0" borderId="0" xfId="2" applyNumberFormat="1" applyFont="1" applyAlignment="1" applyProtection="1">
      <alignment horizontal="right" vertical="center" wrapText="1"/>
      <protection locked="0"/>
    </xf>
    <xf numFmtId="2" fontId="29" fillId="0" borderId="20" xfId="2" applyNumberFormat="1" applyFont="1" applyBorder="1" applyAlignment="1">
      <alignment vertical="center"/>
    </xf>
    <xf numFmtId="0" fontId="29" fillId="0" borderId="20" xfId="0" applyFont="1" applyBorder="1" applyAlignment="1">
      <alignment horizontal="right" vertical="top"/>
    </xf>
    <xf numFmtId="3" fontId="29" fillId="0" borderId="20" xfId="0" applyNumberFormat="1" applyFont="1" applyBorder="1" applyAlignment="1">
      <alignment horizontal="right" vertical="top" wrapText="1"/>
    </xf>
    <xf numFmtId="4" fontId="5" fillId="0" borderId="20" xfId="0" applyNumberFormat="1" applyFont="1" applyBorder="1" applyAlignment="1">
      <alignment vertical="top"/>
    </xf>
    <xf numFmtId="2" fontId="29" fillId="0" borderId="20" xfId="0" applyNumberFormat="1" applyFont="1" applyBorder="1" applyAlignment="1">
      <alignment vertical="top"/>
    </xf>
    <xf numFmtId="2" fontId="5" fillId="0" borderId="19" xfId="0" applyNumberFormat="1" applyFont="1" applyBorder="1" applyAlignment="1" applyProtection="1">
      <alignment horizontal="right" vertical="top"/>
      <protection locked="0"/>
    </xf>
    <xf numFmtId="4" fontId="5" fillId="0" borderId="19" xfId="0" applyNumberFormat="1" applyFont="1" applyBorder="1" applyAlignment="1">
      <alignment vertical="top"/>
    </xf>
    <xf numFmtId="2" fontId="29" fillId="0" borderId="19" xfId="0" applyNumberFormat="1" applyFont="1" applyBorder="1" applyAlignment="1">
      <alignment vertical="top"/>
    </xf>
    <xf numFmtId="0" fontId="29" fillId="0" borderId="19" xfId="0" applyFont="1" applyBorder="1" applyAlignment="1">
      <alignment vertical="top"/>
    </xf>
    <xf numFmtId="3" fontId="5" fillId="0" borderId="20" xfId="0" applyNumberFormat="1" applyFont="1" applyBorder="1" applyAlignment="1" applyProtection="1">
      <alignment horizontal="right" vertical="center" wrapText="1"/>
      <protection locked="0"/>
    </xf>
    <xf numFmtId="0" fontId="29" fillId="0" borderId="19" xfId="0" applyFont="1" applyBorder="1" applyAlignment="1">
      <alignment vertical="center"/>
    </xf>
    <xf numFmtId="2" fontId="3" fillId="0" borderId="0" xfId="0" applyNumberFormat="1" applyFont="1" applyAlignment="1">
      <alignment vertical="center" wrapText="1"/>
    </xf>
    <xf numFmtId="2" fontId="17" fillId="0" borderId="0" xfId="2" applyNumberFormat="1" applyFont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>
      <alignment vertical="center"/>
    </xf>
    <xf numFmtId="3" fontId="29" fillId="0" borderId="19" xfId="0" applyNumberFormat="1" applyFont="1" applyBorder="1" applyAlignment="1">
      <alignment vertical="center"/>
    </xf>
    <xf numFmtId="2" fontId="7" fillId="0" borderId="0" xfId="2" applyNumberFormat="1" applyFont="1" applyAlignment="1" applyProtection="1">
      <alignment horizontal="right" vertical="center" wrapText="1"/>
      <protection locked="0"/>
    </xf>
    <xf numFmtId="3" fontId="29" fillId="0" borderId="20" xfId="0" applyNumberFormat="1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2" fontId="17" fillId="0" borderId="0" xfId="0" applyNumberFormat="1" applyFont="1" applyAlignment="1" applyProtection="1">
      <alignment horizontal="right" vertical="center" wrapText="1"/>
      <protection locked="0"/>
    </xf>
    <xf numFmtId="2" fontId="5" fillId="0" borderId="20" xfId="0" applyNumberFormat="1" applyFont="1" applyBorder="1" applyAlignment="1" applyProtection="1">
      <alignment horizontal="right" vertical="center"/>
      <protection locked="0"/>
    </xf>
    <xf numFmtId="3" fontId="29" fillId="0" borderId="26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 wrapText="1"/>
    </xf>
    <xf numFmtId="0" fontId="3" fillId="0" borderId="20" xfId="0" applyFont="1" applyBorder="1" applyAlignment="1">
      <alignment vertical="center"/>
    </xf>
    <xf numFmtId="3" fontId="3" fillId="0" borderId="20" xfId="0" applyNumberFormat="1" applyFont="1" applyBorder="1" applyAlignment="1">
      <alignment horizontal="right" vertical="center" wrapText="1"/>
    </xf>
    <xf numFmtId="2" fontId="5" fillId="0" borderId="26" xfId="0" applyNumberFormat="1" applyFont="1" applyBorder="1" applyAlignment="1" applyProtection="1">
      <alignment horizontal="right" vertical="center"/>
      <protection locked="0"/>
    </xf>
    <xf numFmtId="2" fontId="5" fillId="0" borderId="0" xfId="0" applyNumberFormat="1" applyFont="1" applyAlignment="1" applyProtection="1">
      <alignment horizontal="right" vertical="center"/>
      <protection locked="0"/>
    </xf>
    <xf numFmtId="0" fontId="3" fillId="0" borderId="0" xfId="18"/>
    <xf numFmtId="2" fontId="3" fillId="0" borderId="20" xfId="0" applyNumberFormat="1" applyFont="1" applyBorder="1" applyAlignment="1">
      <alignment vertical="center"/>
    </xf>
    <xf numFmtId="2" fontId="3" fillId="0" borderId="19" xfId="2" applyNumberFormat="1" applyBorder="1" applyAlignment="1">
      <alignment vertical="center"/>
    </xf>
    <xf numFmtId="0" fontId="29" fillId="0" borderId="20" xfId="0" applyFont="1" applyBorder="1" applyAlignment="1">
      <alignment vertical="top"/>
    </xf>
    <xf numFmtId="4" fontId="29" fillId="0" borderId="20" xfId="0" applyNumberFormat="1" applyFont="1" applyBorder="1" applyAlignment="1">
      <alignment vertical="top"/>
    </xf>
    <xf numFmtId="2" fontId="5" fillId="0" borderId="20" xfId="0" applyNumberFormat="1" applyFont="1" applyBorder="1" applyAlignment="1">
      <alignment vertical="top"/>
    </xf>
    <xf numFmtId="0" fontId="4" fillId="0" borderId="18" xfId="2" applyFont="1" applyBorder="1" applyAlignment="1">
      <alignment horizontal="center" vertical="top" wrapText="1"/>
    </xf>
    <xf numFmtId="2" fontId="4" fillId="0" borderId="19" xfId="2" applyNumberFormat="1" applyFont="1" applyBorder="1" applyAlignment="1">
      <alignment vertical="top"/>
    </xf>
    <xf numFmtId="2" fontId="7" fillId="0" borderId="25" xfId="2" applyNumberFormat="1" applyFont="1" applyBorder="1" applyAlignment="1" applyProtection="1">
      <alignment horizontal="right" vertical="top" wrapText="1"/>
      <protection locked="0"/>
    </xf>
    <xf numFmtId="2" fontId="3" fillId="0" borderId="19" xfId="0" applyNumberFormat="1" applyFont="1" applyBorder="1" applyAlignment="1">
      <alignment horizontal="right"/>
    </xf>
    <xf numFmtId="2" fontId="5" fillId="0" borderId="20" xfId="0" applyNumberFormat="1" applyFont="1" applyBorder="1" applyAlignment="1" applyProtection="1">
      <alignment horizontal="right"/>
      <protection locked="0"/>
    </xf>
    <xf numFmtId="2" fontId="3" fillId="0" borderId="19" xfId="2" applyNumberFormat="1" applyBorder="1" applyAlignment="1">
      <alignment horizontal="right" vertical="center" wrapText="1"/>
    </xf>
    <xf numFmtId="0" fontId="3" fillId="0" borderId="25" xfId="2" applyBorder="1"/>
    <xf numFmtId="0" fontId="3" fillId="0" borderId="18" xfId="2" applyBorder="1" applyAlignment="1">
      <alignment horizontal="left"/>
    </xf>
    <xf numFmtId="0" fontId="3" fillId="0" borderId="18" xfId="2" applyBorder="1" applyAlignment="1">
      <alignment vertical="top"/>
    </xf>
    <xf numFmtId="0" fontId="3" fillId="0" borderId="21" xfId="2" applyBorder="1"/>
    <xf numFmtId="4" fontId="3" fillId="0" borderId="0" xfId="2" applyNumberFormat="1" applyAlignment="1">
      <alignment vertical="center" wrapText="1"/>
    </xf>
    <xf numFmtId="49" fontId="5" fillId="0" borderId="18" xfId="0" applyNumberFormat="1" applyFont="1" applyBorder="1" applyAlignment="1">
      <alignment horizontal="left" vertical="top"/>
    </xf>
    <xf numFmtId="49" fontId="29" fillId="0" borderId="18" xfId="0" applyNumberFormat="1" applyFont="1" applyBorder="1" applyAlignment="1">
      <alignment horizontal="left" vertical="top" wrapText="1"/>
    </xf>
    <xf numFmtId="49" fontId="25" fillId="0" borderId="18" xfId="0" applyNumberFormat="1" applyFont="1" applyBorder="1" applyAlignment="1">
      <alignment vertical="top"/>
    </xf>
    <xf numFmtId="4" fontId="36" fillId="0" borderId="0" xfId="0" applyNumberFormat="1" applyFont="1"/>
    <xf numFmtId="4" fontId="42" fillId="0" borderId="0" xfId="0" applyNumberFormat="1" applyFont="1" applyAlignment="1">
      <alignment wrapText="1"/>
    </xf>
    <xf numFmtId="3" fontId="3" fillId="0" borderId="1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top"/>
    </xf>
    <xf numFmtId="4" fontId="3" fillId="0" borderId="20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top" wrapText="1"/>
    </xf>
    <xf numFmtId="0" fontId="64" fillId="0" borderId="0" xfId="16" applyFont="1"/>
    <xf numFmtId="0" fontId="65" fillId="0" borderId="28" xfId="16" applyFont="1" applyBorder="1" applyAlignment="1">
      <alignment vertical="center" wrapText="1"/>
    </xf>
    <xf numFmtId="49" fontId="33" fillId="0" borderId="29" xfId="18" applyNumberFormat="1" applyFont="1" applyBorder="1" applyAlignment="1">
      <alignment vertical="top"/>
    </xf>
    <xf numFmtId="49" fontId="33" fillId="0" borderId="29" xfId="18" applyNumberFormat="1" applyFont="1" applyBorder="1" applyAlignment="1">
      <alignment horizontal="left" vertical="top"/>
    </xf>
    <xf numFmtId="0" fontId="33" fillId="0" borderId="0" xfId="18" applyFont="1" applyAlignment="1">
      <alignment vertical="top" wrapText="1"/>
    </xf>
    <xf numFmtId="2" fontId="63" fillId="0" borderId="0" xfId="16" applyNumberFormat="1" applyFont="1"/>
    <xf numFmtId="0" fontId="65" fillId="0" borderId="29" xfId="16" applyFont="1" applyBorder="1" applyAlignment="1">
      <alignment horizontal="center" vertical="top"/>
    </xf>
    <xf numFmtId="4" fontId="63" fillId="0" borderId="30" xfId="16" applyNumberFormat="1" applyFont="1" applyBorder="1" applyAlignment="1">
      <alignment vertical="center"/>
    </xf>
    <xf numFmtId="0" fontId="33" fillId="0" borderId="31" xfId="16" applyFont="1" applyBorder="1" applyAlignment="1">
      <alignment vertical="center" wrapText="1"/>
    </xf>
    <xf numFmtId="49" fontId="65" fillId="0" borderId="29" xfId="16" applyNumberFormat="1" applyFont="1" applyBorder="1" applyAlignment="1">
      <alignment horizontal="left" vertical="top"/>
    </xf>
    <xf numFmtId="0" fontId="63" fillId="0" borderId="0" xfId="16" applyFont="1" applyAlignment="1">
      <alignment horizontal="left" vertical="center" wrapText="1"/>
    </xf>
    <xf numFmtId="49" fontId="65" fillId="0" borderId="29" xfId="18" applyNumberFormat="1" applyFont="1" applyBorder="1" applyAlignment="1">
      <alignment horizontal="left" vertical="top"/>
    </xf>
    <xf numFmtId="0" fontId="65" fillId="0" borderId="0" xfId="18" applyFont="1" applyAlignment="1">
      <alignment vertical="top" wrapText="1"/>
    </xf>
    <xf numFmtId="0" fontId="65" fillId="0" borderId="0" xfId="18" applyFont="1" applyAlignment="1">
      <alignment wrapText="1"/>
    </xf>
    <xf numFmtId="0" fontId="65" fillId="0" borderId="29" xfId="18" applyFont="1" applyBorder="1" applyAlignment="1">
      <alignment horizontal="center" vertical="top"/>
    </xf>
    <xf numFmtId="4" fontId="65" fillId="0" borderId="30" xfId="16" applyNumberFormat="1" applyFont="1" applyBorder="1" applyAlignment="1">
      <alignment vertical="center"/>
    </xf>
    <xf numFmtId="49" fontId="63" fillId="0" borderId="29" xfId="18" applyNumberFormat="1" applyFont="1" applyBorder="1" applyAlignment="1">
      <alignment horizontal="left" vertical="top"/>
    </xf>
    <xf numFmtId="0" fontId="63" fillId="0" borderId="0" xfId="18" applyFont="1" applyAlignment="1">
      <alignment vertical="top" wrapText="1"/>
    </xf>
    <xf numFmtId="0" fontId="63" fillId="0" borderId="29" xfId="18" applyFont="1" applyBorder="1" applyAlignment="1">
      <alignment horizontal="center" vertical="top"/>
    </xf>
    <xf numFmtId="0" fontId="44" fillId="0" borderId="0" xfId="18" applyFont="1" applyAlignment="1">
      <alignment vertical="top" wrapText="1"/>
    </xf>
    <xf numFmtId="0" fontId="63" fillId="0" borderId="0" xfId="18" applyFont="1" applyAlignment="1">
      <alignment horizontal="center" vertical="top"/>
    </xf>
    <xf numFmtId="0" fontId="44" fillId="0" borderId="0" xfId="16" applyFont="1" applyAlignment="1">
      <alignment horizontal="left" vertical="center" wrapText="1"/>
    </xf>
    <xf numFmtId="2" fontId="44" fillId="0" borderId="0" xfId="16" applyNumberFormat="1" applyFont="1"/>
    <xf numFmtId="2" fontId="66" fillId="0" borderId="0" xfId="16" applyNumberFormat="1" applyFont="1"/>
    <xf numFmtId="49" fontId="4" fillId="0" borderId="18" xfId="18" quotePrefix="1" applyNumberFormat="1" applyFont="1" applyBorder="1" applyAlignment="1">
      <alignment horizontal="left" vertical="top"/>
    </xf>
    <xf numFmtId="0" fontId="4" fillId="0" borderId="0" xfId="18" applyFont="1" applyAlignment="1">
      <alignment vertical="top" wrapText="1"/>
    </xf>
    <xf numFmtId="0" fontId="4" fillId="0" borderId="0" xfId="18" applyFont="1" applyAlignment="1">
      <alignment wrapText="1"/>
    </xf>
    <xf numFmtId="0" fontId="4" fillId="0" borderId="18" xfId="18" applyFont="1" applyBorder="1" applyAlignment="1">
      <alignment horizontal="center" vertical="top"/>
    </xf>
    <xf numFmtId="49" fontId="3" fillId="0" borderId="18" xfId="18" quotePrefix="1" applyNumberFormat="1" applyBorder="1" applyAlignment="1">
      <alignment horizontal="left" vertical="top"/>
    </xf>
    <xf numFmtId="0" fontId="3" fillId="0" borderId="0" xfId="18" applyAlignment="1">
      <alignment vertical="top" wrapText="1"/>
    </xf>
    <xf numFmtId="0" fontId="3" fillId="0" borderId="0" xfId="18" applyAlignment="1">
      <alignment wrapText="1"/>
    </xf>
    <xf numFmtId="0" fontId="3" fillId="0" borderId="18" xfId="18" applyBorder="1" applyAlignment="1">
      <alignment horizontal="center" vertical="top"/>
    </xf>
    <xf numFmtId="2" fontId="44" fillId="0" borderId="0" xfId="18" applyNumberFormat="1" applyFont="1" applyAlignment="1">
      <alignment wrapText="1"/>
    </xf>
    <xf numFmtId="0" fontId="63" fillId="0" borderId="32" xfId="18" applyFont="1" applyBorder="1" applyAlignment="1">
      <alignment horizontal="center" vertical="top"/>
    </xf>
    <xf numFmtId="0" fontId="44" fillId="0" borderId="0" xfId="18" applyFont="1" applyAlignment="1">
      <alignment wrapText="1"/>
    </xf>
    <xf numFmtId="49" fontId="3" fillId="0" borderId="18" xfId="18" applyNumberFormat="1" applyBorder="1" applyAlignment="1">
      <alignment horizontal="left" vertical="top"/>
    </xf>
    <xf numFmtId="4" fontId="65" fillId="0" borderId="30" xfId="16" applyNumberFormat="1" applyFont="1" applyBorder="1" applyAlignment="1">
      <alignment horizontal="right" vertical="top" wrapText="1"/>
    </xf>
    <xf numFmtId="0" fontId="65" fillId="0" borderId="31" xfId="16" applyFont="1" applyBorder="1" applyAlignment="1">
      <alignment horizontal="center" vertical="top" wrapText="1"/>
    </xf>
    <xf numFmtId="49" fontId="63" fillId="0" borderId="29" xfId="16" applyNumberFormat="1" applyFont="1" applyBorder="1" applyAlignment="1">
      <alignment horizontal="left" vertical="top"/>
    </xf>
    <xf numFmtId="0" fontId="63" fillId="0" borderId="0" xfId="16" applyFont="1" applyAlignment="1">
      <alignment wrapText="1"/>
    </xf>
    <xf numFmtId="2" fontId="63" fillId="0" borderId="0" xfId="16" applyNumberFormat="1" applyFont="1" applyAlignment="1">
      <alignment wrapText="1"/>
    </xf>
    <xf numFmtId="0" fontId="63" fillId="0" borderId="29" xfId="16" applyFont="1" applyBorder="1" applyAlignment="1">
      <alignment horizontal="center" vertical="top"/>
    </xf>
    <xf numFmtId="0" fontId="65" fillId="0" borderId="29" xfId="18" applyFont="1" applyBorder="1" applyAlignment="1">
      <alignment horizontal="center" vertical="top" wrapText="1"/>
    </xf>
    <xf numFmtId="0" fontId="40" fillId="0" borderId="0" xfId="18" applyFont="1" applyAlignment="1">
      <alignment horizontal="left" vertical="top" wrapText="1"/>
    </xf>
    <xf numFmtId="2" fontId="7" fillId="0" borderId="0" xfId="18" applyNumberFormat="1" applyFont="1" applyAlignment="1">
      <alignment horizontal="right" vertical="top" wrapText="1"/>
    </xf>
    <xf numFmtId="2" fontId="63" fillId="0" borderId="0" xfId="18" applyNumberFormat="1" applyFont="1" applyAlignment="1">
      <alignment wrapText="1"/>
    </xf>
    <xf numFmtId="0" fontId="44" fillId="0" borderId="0" xfId="18" applyFont="1" applyAlignment="1">
      <alignment horizontal="justify" vertical="center"/>
    </xf>
    <xf numFmtId="2" fontId="44" fillId="0" borderId="0" xfId="18" applyNumberFormat="1" applyFont="1" applyAlignment="1">
      <alignment horizontal="right" vertical="top" wrapText="1"/>
    </xf>
    <xf numFmtId="0" fontId="44" fillId="0" borderId="0" xfId="18" applyFont="1" applyAlignment="1">
      <alignment horizontal="right" vertical="top" wrapText="1"/>
    </xf>
    <xf numFmtId="164" fontId="65" fillId="0" borderId="29" xfId="18" applyNumberFormat="1" applyFont="1" applyBorder="1" applyAlignment="1">
      <alignment horizontal="left" vertical="top" wrapText="1"/>
    </xf>
    <xf numFmtId="165" fontId="65" fillId="0" borderId="29" xfId="18" applyNumberFormat="1" applyFont="1" applyBorder="1" applyAlignment="1">
      <alignment horizontal="left" vertical="top" wrapText="1"/>
    </xf>
    <xf numFmtId="2" fontId="65" fillId="0" borderId="0" xfId="18" applyNumberFormat="1" applyFont="1" applyAlignment="1">
      <alignment horizontal="left" vertical="top" wrapText="1"/>
    </xf>
    <xf numFmtId="0" fontId="65" fillId="0" borderId="0" xfId="18" applyFont="1" applyAlignment="1">
      <alignment horizontal="left" vertical="top" wrapText="1"/>
    </xf>
    <xf numFmtId="0" fontId="44" fillId="0" borderId="0" xfId="16" applyFont="1" applyAlignment="1">
      <alignment wrapText="1"/>
    </xf>
    <xf numFmtId="2" fontId="44" fillId="0" borderId="0" xfId="16" applyNumberFormat="1" applyFont="1" applyAlignment="1">
      <alignment wrapText="1"/>
    </xf>
    <xf numFmtId="0" fontId="44" fillId="0" borderId="0" xfId="16" applyFont="1" applyAlignment="1">
      <alignment vertical="top" wrapText="1"/>
    </xf>
    <xf numFmtId="2" fontId="66" fillId="0" borderId="0" xfId="16" applyNumberFormat="1" applyFont="1" applyAlignment="1">
      <alignment wrapText="1"/>
    </xf>
    <xf numFmtId="4" fontId="63" fillId="0" borderId="30" xfId="16" applyNumberFormat="1" applyFont="1" applyBorder="1" applyAlignment="1">
      <alignment horizontal="center" vertical="top" wrapText="1"/>
    </xf>
    <xf numFmtId="0" fontId="63" fillId="0" borderId="31" xfId="16" applyFont="1" applyBorder="1" applyAlignment="1">
      <alignment horizontal="left" vertical="top" wrapText="1"/>
    </xf>
    <xf numFmtId="0" fontId="63" fillId="0" borderId="29" xfId="16" applyFont="1" applyBorder="1" applyAlignment="1">
      <alignment horizontal="center" vertical="center"/>
    </xf>
    <xf numFmtId="2" fontId="3" fillId="0" borderId="0" xfId="16" applyNumberFormat="1"/>
    <xf numFmtId="164" fontId="67" fillId="0" borderId="29" xfId="16" applyNumberFormat="1" applyFont="1" applyBorder="1" applyAlignment="1">
      <alignment horizontal="left" vertical="center" wrapText="1"/>
    </xf>
    <xf numFmtId="165" fontId="67" fillId="0" borderId="29" xfId="16" applyNumberFormat="1" applyFont="1" applyBorder="1" applyAlignment="1">
      <alignment horizontal="left" vertical="center" wrapText="1"/>
    </xf>
    <xf numFmtId="0" fontId="3" fillId="0" borderId="0" xfId="16" applyAlignment="1">
      <alignment horizontal="right"/>
    </xf>
    <xf numFmtId="4" fontId="63" fillId="0" borderId="0" xfId="16" applyNumberFormat="1" applyFont="1" applyAlignment="1">
      <alignment horizontal="right" vertical="center" wrapText="1"/>
    </xf>
    <xf numFmtId="0" fontId="67" fillId="0" borderId="29" xfId="16" applyFont="1" applyBorder="1" applyAlignment="1">
      <alignment horizontal="center" vertical="center" wrapText="1"/>
    </xf>
    <xf numFmtId="49" fontId="68" fillId="0" borderId="29" xfId="16" applyNumberFormat="1" applyFont="1" applyBorder="1" applyAlignment="1">
      <alignment horizontal="left" vertical="top"/>
    </xf>
    <xf numFmtId="0" fontId="68" fillId="0" borderId="0" xfId="16" applyFont="1" applyAlignment="1">
      <alignment wrapText="1"/>
    </xf>
    <xf numFmtId="0" fontId="68" fillId="0" borderId="29" xfId="16" applyFont="1" applyBorder="1" applyAlignment="1">
      <alignment horizontal="center" vertical="top"/>
    </xf>
    <xf numFmtId="0" fontId="7" fillId="0" borderId="0" xfId="3" applyFont="1" applyAlignment="1">
      <alignment vertical="center" wrapText="1"/>
    </xf>
    <xf numFmtId="168" fontId="7" fillId="0" borderId="0" xfId="0" applyNumberFormat="1" applyFont="1" applyAlignment="1" applyProtection="1">
      <alignment wrapText="1"/>
      <protection locked="0"/>
    </xf>
    <xf numFmtId="0" fontId="69" fillId="0" borderId="0" xfId="21" applyFont="1" applyAlignment="1" applyProtection="1">
      <alignment vertical="center"/>
      <protection hidden="1"/>
    </xf>
    <xf numFmtId="4" fontId="70" fillId="0" borderId="0" xfId="21" applyNumberFormat="1" applyFont="1" applyAlignment="1" applyProtection="1">
      <alignment horizontal="center" vertical="center" wrapText="1"/>
      <protection hidden="1"/>
    </xf>
    <xf numFmtId="0" fontId="70" fillId="2" borderId="33" xfId="21" applyFont="1" applyFill="1" applyBorder="1" applyAlignment="1" applyProtection="1">
      <alignment horizontal="center" vertical="center" wrapText="1"/>
      <protection hidden="1"/>
    </xf>
    <xf numFmtId="0" fontId="71" fillId="0" borderId="0" xfId="23"/>
    <xf numFmtId="0" fontId="70" fillId="2" borderId="37" xfId="21" applyFont="1" applyFill="1" applyBorder="1" applyAlignment="1" applyProtection="1">
      <alignment horizontal="center" vertical="center" wrapText="1"/>
      <protection hidden="1"/>
    </xf>
    <xf numFmtId="49" fontId="5" fillId="0" borderId="38" xfId="22" applyNumberFormat="1" applyFont="1" applyBorder="1" applyAlignment="1">
      <alignment horizontal="center" vertical="center"/>
    </xf>
    <xf numFmtId="49" fontId="5" fillId="0" borderId="39" xfId="22" applyNumberFormat="1" applyFont="1" applyBorder="1" applyAlignment="1">
      <alignment horizontal="center" vertical="center"/>
    </xf>
    <xf numFmtId="49" fontId="5" fillId="0" borderId="40" xfId="22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/>
    </xf>
    <xf numFmtId="2" fontId="12" fillId="0" borderId="0" xfId="0" applyNumberFormat="1" applyFont="1"/>
    <xf numFmtId="0" fontId="74" fillId="0" borderId="0" xfId="0" applyFont="1"/>
    <xf numFmtId="166" fontId="12" fillId="0" borderId="0" xfId="0" applyNumberFormat="1" applyFont="1"/>
    <xf numFmtId="0" fontId="3" fillId="0" borderId="0" xfId="0" applyFont="1" applyAlignment="1">
      <alignment horizontal="center" vertical="center" wrapText="1"/>
    </xf>
    <xf numFmtId="4" fontId="41" fillId="0" borderId="0" xfId="0" applyNumberFormat="1" applyFont="1"/>
    <xf numFmtId="0" fontId="61" fillId="0" borderId="0" xfId="0" applyFont="1"/>
    <xf numFmtId="4" fontId="12" fillId="0" borderId="0" xfId="0" applyNumberFormat="1" applyFont="1"/>
    <xf numFmtId="4" fontId="75" fillId="0" borderId="0" xfId="0" applyNumberFormat="1" applyFont="1"/>
    <xf numFmtId="4" fontId="76" fillId="0" borderId="0" xfId="0" applyNumberFormat="1" applyFont="1"/>
    <xf numFmtId="0" fontId="4" fillId="0" borderId="22" xfId="0" applyFont="1" applyBorder="1" applyAlignment="1">
      <alignment horizontal="center" vertical="top"/>
    </xf>
    <xf numFmtId="170" fontId="10" fillId="0" borderId="0" xfId="0" applyNumberFormat="1" applyFont="1"/>
    <xf numFmtId="2" fontId="10" fillId="0" borderId="0" xfId="0" applyNumberFormat="1" applyFont="1"/>
    <xf numFmtId="4" fontId="77" fillId="0" borderId="0" xfId="0" applyNumberFormat="1" applyFont="1"/>
    <xf numFmtId="0" fontId="77" fillId="0" borderId="0" xfId="0" applyFont="1"/>
    <xf numFmtId="4" fontId="78" fillId="0" borderId="0" xfId="0" applyNumberFormat="1" applyFont="1"/>
    <xf numFmtId="4" fontId="79" fillId="0" borderId="0" xfId="0" applyNumberFormat="1" applyFont="1"/>
    <xf numFmtId="4" fontId="62" fillId="0" borderId="25" xfId="0" applyNumberFormat="1" applyFont="1" applyBorder="1" applyAlignment="1">
      <alignment wrapText="1"/>
    </xf>
    <xf numFmtId="4" fontId="42" fillId="0" borderId="25" xfId="0" applyNumberFormat="1" applyFont="1" applyBorder="1" applyAlignment="1">
      <alignment wrapText="1"/>
    </xf>
    <xf numFmtId="0" fontId="28" fillId="0" borderId="0" xfId="0" applyFont="1" applyAlignment="1">
      <alignment vertical="top" wrapText="1"/>
    </xf>
    <xf numFmtId="4" fontId="80" fillId="0" borderId="0" xfId="0" applyNumberFormat="1" applyFont="1"/>
    <xf numFmtId="4" fontId="81" fillId="0" borderId="0" xfId="0" applyNumberFormat="1" applyFont="1"/>
    <xf numFmtId="2" fontId="4" fillId="0" borderId="0" xfId="0" applyNumberFormat="1" applyFont="1"/>
    <xf numFmtId="4" fontId="82" fillId="0" borderId="25" xfId="0" applyNumberFormat="1" applyFont="1" applyBorder="1" applyAlignment="1">
      <alignment vertical="center"/>
    </xf>
    <xf numFmtId="0" fontId="22" fillId="0" borderId="21" xfId="3" applyFont="1" applyBorder="1" applyAlignment="1">
      <alignment horizontal="left" vertical="center" wrapText="1"/>
    </xf>
    <xf numFmtId="0" fontId="15" fillId="0" borderId="21" xfId="0" applyFont="1" applyBorder="1" applyAlignment="1" applyProtection="1">
      <alignment horizontal="left" vertical="top" wrapText="1"/>
      <protection locked="0"/>
    </xf>
    <xf numFmtId="0" fontId="7" fillId="0" borderId="21" xfId="8" applyFont="1" applyBorder="1" applyAlignment="1" applyProtection="1">
      <alignment vertical="top" wrapText="1"/>
      <protection locked="0"/>
    </xf>
    <xf numFmtId="4" fontId="17" fillId="0" borderId="25" xfId="8" applyNumberFormat="1" applyFont="1" applyBorder="1">
      <alignment vertical="center"/>
    </xf>
    <xf numFmtId="2" fontId="32" fillId="0" borderId="0" xfId="0" applyNumberFormat="1" applyFont="1" applyAlignment="1">
      <alignment vertical="center"/>
    </xf>
    <xf numFmtId="4" fontId="26" fillId="0" borderId="0" xfId="0" applyNumberFormat="1" applyFont="1"/>
    <xf numFmtId="0" fontId="83" fillId="0" borderId="0" xfId="0" applyFont="1"/>
    <xf numFmtId="2" fontId="80" fillId="0" borderId="0" xfId="0" applyNumberFormat="1" applyFont="1"/>
    <xf numFmtId="0" fontId="3" fillId="0" borderId="21" xfId="2" quotePrefix="1" applyBorder="1" applyAlignment="1">
      <alignment horizontal="center" vertical="center" wrapText="1"/>
    </xf>
    <xf numFmtId="2" fontId="29" fillId="0" borderId="19" xfId="2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right" vertical="center"/>
    </xf>
    <xf numFmtId="2" fontId="29" fillId="0" borderId="20" xfId="0" applyNumberFormat="1" applyFont="1" applyBorder="1" applyAlignment="1">
      <alignment horizontal="right" vertical="center"/>
    </xf>
    <xf numFmtId="4" fontId="7" fillId="0" borderId="0" xfId="2" applyNumberFormat="1" applyFont="1" applyAlignment="1">
      <alignment vertical="center" wrapText="1"/>
    </xf>
    <xf numFmtId="164" fontId="4" fillId="0" borderId="0" xfId="0" applyNumberFormat="1" applyFont="1" applyAlignment="1">
      <alignment horizontal="left" vertical="top"/>
    </xf>
    <xf numFmtId="0" fontId="6" fillId="0" borderId="21" xfId="0" applyFont="1" applyBorder="1" applyAlignment="1">
      <alignment horizontal="left" vertical="top" wrapText="1"/>
    </xf>
    <xf numFmtId="0" fontId="7" fillId="0" borderId="0" xfId="2" applyFont="1" applyAlignment="1">
      <alignment horizontal="left" vertical="top" wrapText="1"/>
    </xf>
    <xf numFmtId="0" fontId="3" fillId="0" borderId="0" xfId="2" applyAlignment="1">
      <alignment horizontal="left" vertical="top" wrapText="1"/>
    </xf>
    <xf numFmtId="2" fontId="3" fillId="0" borderId="25" xfId="0" applyNumberFormat="1" applyFont="1" applyBorder="1" applyAlignment="1">
      <alignment vertical="center" wrapText="1"/>
    </xf>
    <xf numFmtId="49" fontId="3" fillId="0" borderId="1" xfId="0" applyNumberFormat="1" applyFont="1" applyBorder="1" applyAlignment="1" applyProtection="1">
      <alignment horizontal="left" vertical="top" wrapText="1" indent="1"/>
      <protection locked="0"/>
    </xf>
    <xf numFmtId="4" fontId="3" fillId="0" borderId="1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 applyProtection="1">
      <alignment horizontal="left" vertical="top" wrapText="1" indent="1"/>
      <protection locked="0"/>
    </xf>
    <xf numFmtId="4" fontId="3" fillId="0" borderId="0" xfId="0" applyNumberFormat="1" applyFont="1" applyAlignment="1">
      <alignment horizontal="right" vertical="center" wrapText="1"/>
    </xf>
    <xf numFmtId="0" fontId="63" fillId="0" borderId="0" xfId="16" applyFont="1" applyAlignment="1">
      <alignment horizontal="left" vertical="top"/>
    </xf>
    <xf numFmtId="0" fontId="65" fillId="0" borderId="0" xfId="16" applyFont="1" applyAlignment="1">
      <alignment horizontal="center"/>
    </xf>
    <xf numFmtId="0" fontId="65" fillId="0" borderId="0" xfId="16" applyFont="1"/>
    <xf numFmtId="4" fontId="63" fillId="0" borderId="0" xfId="16" applyNumberFormat="1" applyFont="1"/>
    <xf numFmtId="0" fontId="63" fillId="0" borderId="0" xfId="16" applyFont="1" applyAlignment="1">
      <alignment horizontal="center"/>
    </xf>
    <xf numFmtId="3" fontId="63" fillId="0" borderId="0" xfId="16" applyNumberFormat="1" applyFont="1" applyAlignment="1">
      <alignment vertical="top"/>
    </xf>
    <xf numFmtId="0" fontId="63" fillId="0" borderId="0" xfId="16" applyFont="1"/>
    <xf numFmtId="0" fontId="63" fillId="0" borderId="0" xfId="16" applyFont="1" applyAlignment="1">
      <alignment horizontal="left"/>
    </xf>
    <xf numFmtId="3" fontId="63" fillId="0" borderId="0" xfId="16" applyNumberFormat="1" applyFont="1" applyAlignment="1">
      <alignment horizontal="right" vertical="top"/>
    </xf>
    <xf numFmtId="0" fontId="65" fillId="0" borderId="28" xfId="16" applyFont="1" applyBorder="1" applyAlignment="1">
      <alignment horizontal="center" vertical="top" wrapText="1"/>
    </xf>
    <xf numFmtId="0" fontId="65" fillId="0" borderId="29" xfId="16" applyFont="1" applyBorder="1" applyAlignment="1">
      <alignment horizontal="center" vertical="top" wrapText="1"/>
    </xf>
    <xf numFmtId="0" fontId="63" fillId="0" borderId="29" xfId="16" applyFont="1" applyBorder="1" applyAlignment="1">
      <alignment horizontal="center" vertical="top" wrapText="1"/>
    </xf>
    <xf numFmtId="0" fontId="63" fillId="0" borderId="41" xfId="16" applyFont="1" applyBorder="1" applyAlignment="1">
      <alignment horizontal="center" vertical="top" wrapText="1"/>
    </xf>
    <xf numFmtId="4" fontId="63" fillId="0" borderId="0" xfId="16" applyNumberFormat="1" applyFont="1" applyAlignment="1">
      <alignment vertical="top" wrapText="1"/>
    </xf>
    <xf numFmtId="3" fontId="63" fillId="0" borderId="30" xfId="16" applyNumberFormat="1" applyFont="1" applyBorder="1" applyAlignment="1">
      <alignment horizontal="center" vertical="top" wrapText="1"/>
    </xf>
    <xf numFmtId="0" fontId="45" fillId="0" borderId="28" xfId="16" applyFont="1" applyBorder="1" applyAlignment="1">
      <alignment vertical="center" wrapText="1"/>
    </xf>
    <xf numFmtId="0" fontId="33" fillId="0" borderId="29" xfId="16" applyFont="1" applyBorder="1" applyAlignment="1">
      <alignment vertical="center" wrapText="1"/>
    </xf>
    <xf numFmtId="164" fontId="33" fillId="0" borderId="29" xfId="16" applyNumberFormat="1" applyFont="1" applyBorder="1" applyAlignment="1">
      <alignment horizontal="left" vertical="center" wrapText="1"/>
    </xf>
    <xf numFmtId="165" fontId="33" fillId="0" borderId="29" xfId="16" applyNumberFormat="1" applyFont="1" applyBorder="1" applyAlignment="1">
      <alignment horizontal="left" vertical="center" wrapText="1"/>
    </xf>
    <xf numFmtId="4" fontId="33" fillId="0" borderId="0" xfId="16" applyNumberFormat="1" applyFont="1" applyAlignment="1">
      <alignment horizontal="left" vertical="center" wrapText="1"/>
    </xf>
    <xf numFmtId="0" fontId="33" fillId="0" borderId="29" xfId="16" applyFont="1" applyBorder="1" applyAlignment="1">
      <alignment horizontal="center" vertical="center" wrapText="1"/>
    </xf>
    <xf numFmtId="3" fontId="84" fillId="0" borderId="30" xfId="16" applyNumberFormat="1" applyFont="1" applyBorder="1" applyAlignment="1">
      <alignment vertical="center"/>
    </xf>
    <xf numFmtId="0" fontId="85" fillId="0" borderId="0" xfId="16" applyFont="1" applyAlignment="1">
      <alignment vertical="center"/>
    </xf>
    <xf numFmtId="0" fontId="45" fillId="0" borderId="0" xfId="16" applyFont="1" applyAlignment="1">
      <alignment vertical="center" wrapText="1"/>
    </xf>
    <xf numFmtId="0" fontId="33" fillId="0" borderId="0" xfId="16" applyFont="1" applyAlignment="1">
      <alignment horizontal="left" vertical="center" wrapText="1"/>
    </xf>
    <xf numFmtId="0" fontId="65" fillId="0" borderId="0" xfId="16" applyFont="1" applyAlignment="1">
      <alignment vertical="top" wrapText="1"/>
    </xf>
    <xf numFmtId="0" fontId="65" fillId="0" borderId="0" xfId="16" applyFont="1" applyAlignment="1">
      <alignment wrapText="1"/>
    </xf>
    <xf numFmtId="165" fontId="33" fillId="0" borderId="41" xfId="16" applyNumberFormat="1" applyFont="1" applyBorder="1" applyAlignment="1">
      <alignment horizontal="left" vertical="center" wrapText="1"/>
    </xf>
    <xf numFmtId="49" fontId="44" fillId="0" borderId="41" xfId="16" applyNumberFormat="1" applyFont="1" applyBorder="1" applyAlignment="1">
      <alignment horizontal="left" vertical="top"/>
    </xf>
    <xf numFmtId="4" fontId="44" fillId="0" borderId="0" xfId="16" applyNumberFormat="1" applyFont="1" applyAlignment="1">
      <alignment horizontal="right" vertical="center" wrapText="1"/>
    </xf>
    <xf numFmtId="49" fontId="63" fillId="0" borderId="0" xfId="16" applyNumberFormat="1" applyFont="1" applyAlignment="1">
      <alignment horizontal="left" vertical="top"/>
    </xf>
    <xf numFmtId="0" fontId="33" fillId="0" borderId="29" xfId="16" applyFont="1" applyBorder="1" applyAlignment="1">
      <alignment vertical="top" wrapText="1"/>
    </xf>
    <xf numFmtId="164" fontId="67" fillId="0" borderId="29" xfId="16" applyNumberFormat="1" applyFont="1" applyBorder="1" applyAlignment="1">
      <alignment horizontal="left" vertical="top" wrapText="1"/>
    </xf>
    <xf numFmtId="165" fontId="67" fillId="0" borderId="29" xfId="16" applyNumberFormat="1" applyFont="1" applyBorder="1" applyAlignment="1">
      <alignment horizontal="left" vertical="top" wrapText="1"/>
    </xf>
    <xf numFmtId="0" fontId="33" fillId="0" borderId="0" xfId="16" applyFont="1" applyAlignment="1">
      <alignment vertical="top" wrapText="1"/>
    </xf>
    <xf numFmtId="4" fontId="67" fillId="0" borderId="0" xfId="16" applyNumberFormat="1" applyFont="1" applyAlignment="1">
      <alignment horizontal="left" vertical="center" wrapText="1"/>
    </xf>
    <xf numFmtId="0" fontId="45" fillId="0" borderId="0" xfId="16" applyFont="1" applyAlignment="1">
      <alignment vertical="center"/>
    </xf>
    <xf numFmtId="0" fontId="33" fillId="0" borderId="31" xfId="16" applyFont="1" applyBorder="1" applyAlignment="1">
      <alignment vertical="top" wrapText="1"/>
    </xf>
    <xf numFmtId="0" fontId="44" fillId="0" borderId="0" xfId="16" applyFont="1" applyAlignment="1">
      <alignment horizontal="right" vertical="center" wrapText="1"/>
    </xf>
    <xf numFmtId="49" fontId="29" fillId="0" borderId="18" xfId="2" quotePrefix="1" applyNumberFormat="1" applyFont="1" applyBorder="1" applyAlignment="1">
      <alignment horizontal="left" vertical="top"/>
    </xf>
    <xf numFmtId="4" fontId="29" fillId="0" borderId="0" xfId="0" applyNumberFormat="1" applyFont="1" applyAlignment="1">
      <alignment horizontal="left" vertical="top" wrapText="1"/>
    </xf>
    <xf numFmtId="4" fontId="29" fillId="0" borderId="0" xfId="2" applyNumberFormat="1" applyFont="1" applyAlignment="1" applyProtection="1">
      <alignment vertical="center" wrapText="1"/>
      <protection locked="0"/>
    </xf>
    <xf numFmtId="0" fontId="29" fillId="0" borderId="18" xfId="2" applyFont="1" applyBorder="1" applyAlignment="1">
      <alignment horizontal="center" vertical="center"/>
    </xf>
    <xf numFmtId="4" fontId="23" fillId="0" borderId="0" xfId="0" applyNumberFormat="1" applyFont="1" applyAlignment="1">
      <alignment horizontal="left" vertical="top" wrapText="1"/>
    </xf>
    <xf numFmtId="4" fontId="15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2" fontId="45" fillId="0" borderId="0" xfId="16" applyNumberFormat="1" applyFont="1" applyAlignment="1">
      <alignment vertical="center"/>
    </xf>
    <xf numFmtId="0" fontId="63" fillId="0" borderId="0" xfId="16" applyFont="1" applyAlignment="1">
      <alignment vertical="top" wrapText="1"/>
    </xf>
    <xf numFmtId="4" fontId="17" fillId="0" borderId="0" xfId="0" applyNumberFormat="1" applyFont="1" applyAlignment="1">
      <alignment horizontal="left" vertical="top" wrapText="1"/>
    </xf>
    <xf numFmtId="2" fontId="65" fillId="0" borderId="0" xfId="16" applyNumberFormat="1" applyFont="1" applyAlignment="1">
      <alignment wrapText="1"/>
    </xf>
    <xf numFmtId="0" fontId="44" fillId="0" borderId="25" xfId="16" applyFont="1" applyBorder="1" applyAlignment="1">
      <alignment wrapText="1"/>
    </xf>
    <xf numFmtId="0" fontId="63" fillId="0" borderId="0" xfId="16" applyFont="1" applyAlignment="1">
      <alignment horizontal="center" vertical="top"/>
    </xf>
    <xf numFmtId="2" fontId="66" fillId="0" borderId="31" xfId="16" applyNumberFormat="1" applyFont="1" applyBorder="1"/>
    <xf numFmtId="0" fontId="65" fillId="0" borderId="0" xfId="16" applyFont="1" applyAlignment="1">
      <alignment horizontal="center" vertical="top"/>
    </xf>
    <xf numFmtId="2" fontId="44" fillId="0" borderId="25" xfId="16" applyNumberFormat="1" applyFont="1" applyBorder="1"/>
    <xf numFmtId="49" fontId="33" fillId="0" borderId="29" xfId="16" applyNumberFormat="1" applyFont="1" applyBorder="1" applyAlignment="1">
      <alignment vertical="top"/>
    </xf>
    <xf numFmtId="49" fontId="33" fillId="0" borderId="29" xfId="16" applyNumberFormat="1" applyFont="1" applyBorder="1" applyAlignment="1">
      <alignment horizontal="left" vertical="top"/>
    </xf>
    <xf numFmtId="0" fontId="86" fillId="0" borderId="0" xfId="16" applyFont="1" applyAlignment="1">
      <alignment wrapText="1"/>
    </xf>
    <xf numFmtId="2" fontId="86" fillId="0" borderId="0" xfId="16" applyNumberFormat="1" applyFont="1" applyAlignment="1">
      <alignment wrapText="1"/>
    </xf>
    <xf numFmtId="2" fontId="44" fillId="0" borderId="0" xfId="16" applyNumberFormat="1" applyFont="1" applyAlignment="1">
      <alignment horizontal="right" vertical="center"/>
    </xf>
    <xf numFmtId="2" fontId="66" fillId="0" borderId="0" xfId="16" applyNumberFormat="1" applyFont="1" applyAlignment="1">
      <alignment horizontal="right" vertical="center" wrapText="1"/>
    </xf>
    <xf numFmtId="2" fontId="44" fillId="0" borderId="0" xfId="16" applyNumberFormat="1" applyFont="1" applyAlignment="1">
      <alignment vertical="center"/>
    </xf>
    <xf numFmtId="0" fontId="51" fillId="0" borderId="0" xfId="16" applyFont="1" applyAlignment="1">
      <alignment vertical="center" wrapText="1"/>
    </xf>
    <xf numFmtId="0" fontId="65" fillId="0" borderId="28" xfId="16" applyFont="1" applyBorder="1" applyAlignment="1">
      <alignment vertical="top" wrapText="1"/>
    </xf>
    <xf numFmtId="2" fontId="87" fillId="0" borderId="0" xfId="16" applyNumberFormat="1" applyFont="1"/>
    <xf numFmtId="0" fontId="63" fillId="0" borderId="0" xfId="0" applyFont="1" applyAlignment="1">
      <alignment vertical="center" wrapText="1"/>
    </xf>
    <xf numFmtId="0" fontId="63" fillId="0" borderId="29" xfId="0" applyFont="1" applyBorder="1" applyAlignment="1">
      <alignment horizontal="center" vertical="top"/>
    </xf>
    <xf numFmtId="4" fontId="63" fillId="0" borderId="30" xfId="16" applyNumberFormat="1" applyFont="1" applyBorder="1" applyAlignment="1">
      <alignment horizontal="right" vertical="top" wrapText="1"/>
    </xf>
    <xf numFmtId="0" fontId="44" fillId="0" borderId="0" xfId="16" applyFont="1" applyAlignment="1">
      <alignment horizontal="right" wrapText="1"/>
    </xf>
    <xf numFmtId="49" fontId="65" fillId="0" borderId="29" xfId="0" applyNumberFormat="1" applyFont="1" applyBorder="1" applyAlignment="1">
      <alignment horizontal="left" vertical="top"/>
    </xf>
    <xf numFmtId="0" fontId="65" fillId="0" borderId="0" xfId="0" applyFont="1" applyAlignment="1">
      <alignment vertical="top" wrapText="1"/>
    </xf>
    <xf numFmtId="0" fontId="65" fillId="0" borderId="0" xfId="0" applyFont="1" applyAlignment="1">
      <alignment wrapText="1"/>
    </xf>
    <xf numFmtId="0" fontId="65" fillId="0" borderId="29" xfId="0" applyFont="1" applyBorder="1" applyAlignment="1">
      <alignment horizontal="center" vertical="top"/>
    </xf>
    <xf numFmtId="4" fontId="65" fillId="0" borderId="30" xfId="16" applyNumberFormat="1" applyFont="1" applyBorder="1" applyAlignment="1">
      <alignment horizontal="right" vertical="center" wrapText="1"/>
    </xf>
    <xf numFmtId="0" fontId="86" fillId="0" borderId="0" xfId="16" applyFont="1" applyAlignment="1">
      <alignment horizontal="left" wrapText="1"/>
    </xf>
    <xf numFmtId="2" fontId="88" fillId="0" borderId="0" xfId="16" applyNumberFormat="1" applyFont="1" applyAlignment="1">
      <alignment wrapText="1"/>
    </xf>
    <xf numFmtId="4" fontId="44" fillId="0" borderId="0" xfId="16" applyNumberFormat="1" applyFont="1" applyAlignment="1">
      <alignment vertical="center"/>
    </xf>
    <xf numFmtId="0" fontId="89" fillId="0" borderId="0" xfId="16" applyFont="1" applyAlignment="1">
      <alignment horizontal="left" vertical="center" wrapText="1"/>
    </xf>
    <xf numFmtId="0" fontId="44" fillId="0" borderId="0" xfId="16" applyFont="1" applyAlignment="1">
      <alignment horizontal="left" vertical="center"/>
    </xf>
    <xf numFmtId="0" fontId="64" fillId="0" borderId="28" xfId="16" applyFont="1" applyBorder="1" applyAlignment="1">
      <alignment vertical="center"/>
    </xf>
    <xf numFmtId="4" fontId="65" fillId="0" borderId="0" xfId="16" applyNumberFormat="1" applyFont="1" applyAlignment="1">
      <alignment vertical="top" wrapText="1"/>
    </xf>
    <xf numFmtId="0" fontId="65" fillId="0" borderId="29" xfId="16" applyFont="1" applyBorder="1" applyAlignment="1">
      <alignment horizontal="center" vertical="center"/>
    </xf>
    <xf numFmtId="4" fontId="65" fillId="0" borderId="30" xfId="16" applyNumberFormat="1" applyFont="1" applyBorder="1" applyAlignment="1">
      <alignment horizontal="right" vertical="center"/>
    </xf>
    <xf numFmtId="0" fontId="84" fillId="0" borderId="0" xfId="16" applyFont="1" applyAlignment="1">
      <alignment vertical="top"/>
    </xf>
    <xf numFmtId="0" fontId="65" fillId="0" borderId="28" xfId="16" applyFont="1" applyBorder="1" applyAlignment="1">
      <alignment vertical="top"/>
    </xf>
    <xf numFmtId="49" fontId="63" fillId="0" borderId="41" xfId="16" applyNumberFormat="1" applyFont="1" applyBorder="1" applyAlignment="1">
      <alignment horizontal="left" vertical="top"/>
    </xf>
    <xf numFmtId="4" fontId="63" fillId="0" borderId="30" xfId="16" applyNumberFormat="1" applyFont="1" applyBorder="1" applyAlignment="1">
      <alignment horizontal="right" vertical="center"/>
    </xf>
    <xf numFmtId="4" fontId="65" fillId="0" borderId="30" xfId="0" applyNumberFormat="1" applyFont="1" applyBorder="1" applyAlignment="1">
      <alignment horizontal="right" vertical="center"/>
    </xf>
    <xf numFmtId="49" fontId="33" fillId="0" borderId="31" xfId="16" applyNumberFormat="1" applyFont="1" applyBorder="1" applyAlignment="1">
      <alignment vertical="top"/>
    </xf>
    <xf numFmtId="49" fontId="63" fillId="0" borderId="29" xfId="0" applyNumberFormat="1" applyFont="1" applyBorder="1" applyAlignment="1">
      <alignment horizontal="left" vertical="top"/>
    </xf>
    <xf numFmtId="0" fontId="63" fillId="0" borderId="0" xfId="0" applyFont="1" applyAlignment="1">
      <alignment vertical="top" wrapText="1"/>
    </xf>
    <xf numFmtId="0" fontId="63" fillId="0" borderId="0" xfId="0" applyFont="1" applyAlignment="1">
      <alignment wrapText="1"/>
    </xf>
    <xf numFmtId="4" fontId="63" fillId="0" borderId="30" xfId="0" applyNumberFormat="1" applyFont="1" applyBorder="1" applyAlignment="1">
      <alignment horizontal="right" vertical="center"/>
    </xf>
    <xf numFmtId="0" fontId="65" fillId="0" borderId="29" xfId="0" applyFont="1" applyBorder="1" applyAlignment="1">
      <alignment horizontal="center" vertical="top" wrapText="1"/>
    </xf>
    <xf numFmtId="0" fontId="63" fillId="0" borderId="29" xfId="0" applyFont="1" applyBorder="1" applyAlignment="1">
      <alignment horizontal="center" vertical="top" wrapText="1"/>
    </xf>
    <xf numFmtId="0" fontId="44" fillId="0" borderId="0" xfId="0" applyFont="1" applyAlignment="1">
      <alignment horizontal="left" vertical="center" wrapText="1"/>
    </xf>
    <xf numFmtId="4" fontId="44" fillId="0" borderId="0" xfId="0" applyNumberFormat="1" applyFont="1" applyAlignment="1">
      <alignment wrapText="1"/>
    </xf>
    <xf numFmtId="4" fontId="63" fillId="0" borderId="30" xfId="0" applyNumberFormat="1" applyFont="1" applyBorder="1" applyAlignment="1">
      <alignment horizontal="right" vertical="top" wrapText="1"/>
    </xf>
    <xf numFmtId="0" fontId="63" fillId="0" borderId="42" xfId="0" applyFont="1" applyBorder="1" applyAlignment="1">
      <alignment horizontal="center" vertical="top" wrapText="1"/>
    </xf>
    <xf numFmtId="49" fontId="29" fillId="0" borderId="18" xfId="2" applyNumberFormat="1" applyFont="1" applyBorder="1" applyAlignment="1">
      <alignment horizontal="left" vertical="top"/>
    </xf>
    <xf numFmtId="0" fontId="5" fillId="0" borderId="17" xfId="2" applyFont="1" applyBorder="1" applyAlignment="1">
      <alignment horizontal="center" vertical="top" wrapText="1"/>
    </xf>
    <xf numFmtId="0" fontId="29" fillId="0" borderId="25" xfId="2" applyFont="1" applyBorder="1" applyAlignment="1">
      <alignment horizontal="left" vertical="top" wrapText="1"/>
    </xf>
    <xf numFmtId="4" fontId="28" fillId="0" borderId="0" xfId="2" applyNumberFormat="1" applyFont="1" applyAlignment="1" applyProtection="1">
      <alignment vertical="center" wrapText="1"/>
      <protection locked="0"/>
    </xf>
    <xf numFmtId="49" fontId="3" fillId="0" borderId="25" xfId="0" applyNumberFormat="1" applyFont="1" applyBorder="1" applyAlignment="1">
      <alignment horizontal="left" vertical="top"/>
    </xf>
    <xf numFmtId="49" fontId="3" fillId="0" borderId="25" xfId="2" quotePrefix="1" applyNumberFormat="1" applyBorder="1" applyAlignment="1">
      <alignment horizontal="left" vertical="top"/>
    </xf>
    <xf numFmtId="2" fontId="5" fillId="0" borderId="20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top"/>
    </xf>
    <xf numFmtId="164" fontId="4" fillId="0" borderId="25" xfId="0" applyNumberFormat="1" applyFont="1" applyBorder="1" applyAlignment="1">
      <alignment horizontal="left" vertical="top"/>
    </xf>
    <xf numFmtId="165" fontId="4" fillId="0" borderId="25" xfId="0" applyNumberFormat="1" applyFont="1" applyBorder="1" applyAlignment="1">
      <alignment horizontal="left" vertical="top"/>
    </xf>
    <xf numFmtId="2" fontId="5" fillId="0" borderId="20" xfId="2" applyNumberFormat="1" applyFont="1" applyBorder="1" applyAlignment="1">
      <alignment vertical="center"/>
    </xf>
    <xf numFmtId="0" fontId="47" fillId="0" borderId="22" xfId="0" applyFont="1" applyBorder="1"/>
    <xf numFmtId="49" fontId="5" fillId="0" borderId="18" xfId="2" quotePrefix="1" applyNumberFormat="1" applyFont="1" applyBorder="1" applyAlignment="1">
      <alignment horizontal="left" vertical="top"/>
    </xf>
    <xf numFmtId="0" fontId="5" fillId="0" borderId="18" xfId="2" applyFont="1" applyBorder="1" applyAlignment="1">
      <alignment horizontal="center" vertical="center"/>
    </xf>
    <xf numFmtId="4" fontId="15" fillId="0" borderId="0" xfId="2" applyNumberFormat="1" applyFont="1" applyAlignment="1" applyProtection="1">
      <alignment vertical="center" wrapText="1"/>
      <protection locked="0"/>
    </xf>
    <xf numFmtId="0" fontId="63" fillId="0" borderId="41" xfId="0" applyFont="1" applyBorder="1" applyAlignment="1">
      <alignment horizontal="center" vertical="top" wrapText="1"/>
    </xf>
    <xf numFmtId="0" fontId="44" fillId="0" borderId="21" xfId="0" applyFont="1" applyBorder="1" applyAlignment="1">
      <alignment horizontal="left" vertical="center" wrapText="1"/>
    </xf>
    <xf numFmtId="0" fontId="65" fillId="0" borderId="43" xfId="16" applyFont="1" applyBorder="1" applyAlignment="1">
      <alignment vertical="top" wrapText="1"/>
    </xf>
    <xf numFmtId="0" fontId="63" fillId="0" borderId="44" xfId="16" applyFont="1" applyBorder="1" applyAlignment="1">
      <alignment vertical="top" wrapText="1"/>
    </xf>
    <xf numFmtId="49" fontId="65" fillId="0" borderId="44" xfId="16" applyNumberFormat="1" applyFont="1" applyBorder="1" applyAlignment="1">
      <alignment horizontal="left" vertical="top" wrapText="1"/>
    </xf>
    <xf numFmtId="49" fontId="63" fillId="0" borderId="44" xfId="16" applyNumberFormat="1" applyFont="1" applyBorder="1" applyAlignment="1">
      <alignment horizontal="left" vertical="top" wrapText="1"/>
    </xf>
    <xf numFmtId="0" fontId="44" fillId="0" borderId="1" xfId="16" applyFont="1" applyBorder="1" applyAlignment="1" applyProtection="1">
      <alignment horizontal="left" vertical="top" wrapText="1" indent="1"/>
      <protection locked="0"/>
    </xf>
    <xf numFmtId="4" fontId="44" fillId="0" borderId="45" xfId="16" applyNumberFormat="1" applyFont="1" applyBorder="1" applyAlignment="1" applyProtection="1">
      <alignment vertical="top" wrapText="1"/>
      <protection locked="0"/>
    </xf>
    <xf numFmtId="0" fontId="63" fillId="0" borderId="44" xfId="16" applyFont="1" applyBorder="1" applyAlignment="1">
      <alignment horizontal="center" vertical="top" wrapText="1"/>
    </xf>
    <xf numFmtId="3" fontId="63" fillId="0" borderId="46" xfId="16" applyNumberFormat="1" applyFont="1" applyBorder="1" applyAlignment="1">
      <alignment horizontal="right" vertical="top" wrapText="1"/>
    </xf>
    <xf numFmtId="0" fontId="64" fillId="0" borderId="0" xfId="16" applyFont="1" applyAlignment="1">
      <alignment horizontal="center" vertical="top"/>
    </xf>
    <xf numFmtId="49" fontId="65" fillId="0" borderId="0" xfId="16" applyNumberFormat="1" applyFont="1" applyAlignment="1">
      <alignment horizontal="left" vertical="top" wrapText="1"/>
    </xf>
    <xf numFmtId="49" fontId="63" fillId="0" borderId="0" xfId="16" applyNumberFormat="1" applyFont="1" applyAlignment="1">
      <alignment horizontal="left" vertical="top" wrapText="1"/>
    </xf>
    <xf numFmtId="0" fontId="63" fillId="0" borderId="0" xfId="16" applyFont="1" applyAlignment="1">
      <alignment horizontal="left" vertical="top" wrapText="1"/>
    </xf>
    <xf numFmtId="4" fontId="44" fillId="0" borderId="0" xfId="16" applyNumberFormat="1" applyFont="1" applyAlignment="1">
      <alignment horizontal="right" vertical="top" wrapText="1"/>
    </xf>
    <xf numFmtId="0" fontId="63" fillId="0" borderId="0" xfId="16" applyFont="1" applyAlignment="1">
      <alignment horizontal="center" vertical="top" wrapText="1"/>
    </xf>
    <xf numFmtId="3" fontId="63" fillId="0" borderId="0" xfId="16" applyNumberFormat="1" applyFont="1" applyAlignment="1">
      <alignment horizontal="right" vertical="top" wrapText="1"/>
    </xf>
    <xf numFmtId="0" fontId="44" fillId="0" borderId="0" xfId="16" applyFont="1" applyAlignment="1" applyProtection="1">
      <alignment horizontal="left" vertical="top" wrapText="1"/>
      <protection locked="0"/>
    </xf>
    <xf numFmtId="49" fontId="44" fillId="0" borderId="0" xfId="16" applyNumberFormat="1" applyFont="1" applyAlignment="1" applyProtection="1">
      <alignment vertical="top" wrapText="1"/>
      <protection locked="0"/>
    </xf>
    <xf numFmtId="4" fontId="44" fillId="0" borderId="0" xfId="16" applyNumberFormat="1" applyFont="1" applyAlignment="1" applyProtection="1">
      <alignment horizontal="right" vertical="top" wrapText="1"/>
      <protection locked="0"/>
    </xf>
    <xf numFmtId="169" fontId="44" fillId="0" borderId="0" xfId="16" applyNumberFormat="1" applyFont="1" applyAlignment="1">
      <alignment horizontal="left" vertical="top" wrapText="1" indent="1"/>
    </xf>
    <xf numFmtId="0" fontId="63" fillId="0" borderId="47" xfId="16" applyFont="1" applyBorder="1" applyAlignment="1">
      <alignment vertical="top" wrapText="1"/>
    </xf>
    <xf numFmtId="0" fontId="44" fillId="0" borderId="0" xfId="16" applyFont="1" applyAlignment="1">
      <alignment horizontal="left" vertical="top" wrapText="1"/>
    </xf>
    <xf numFmtId="4" fontId="66" fillId="0" borderId="0" xfId="16" applyNumberFormat="1" applyFont="1" applyAlignment="1">
      <alignment horizontal="right" vertical="top" wrapText="1"/>
    </xf>
    <xf numFmtId="0" fontId="63" fillId="0" borderId="47" xfId="16" applyFont="1" applyBorder="1"/>
    <xf numFmtId="49" fontId="65" fillId="0" borderId="0" xfId="16" applyNumberFormat="1" applyFont="1" applyAlignment="1">
      <alignment vertical="top"/>
    </xf>
    <xf numFmtId="0" fontId="63" fillId="0" borderId="0" xfId="16" applyFont="1" applyAlignment="1">
      <alignment vertical="top"/>
    </xf>
    <xf numFmtId="0" fontId="65" fillId="0" borderId="0" xfId="16" applyFont="1" applyAlignment="1">
      <alignment vertical="top"/>
    </xf>
    <xf numFmtId="4" fontId="65" fillId="0" borderId="0" xfId="16" applyNumberFormat="1" applyFont="1" applyAlignment="1">
      <alignment vertical="center" wrapText="1"/>
    </xf>
    <xf numFmtId="0" fontId="90" fillId="0" borderId="47" xfId="16" applyFont="1" applyBorder="1"/>
    <xf numFmtId="49" fontId="91" fillId="0" borderId="0" xfId="16" applyNumberFormat="1" applyFont="1" applyAlignment="1">
      <alignment vertical="top"/>
    </xf>
    <xf numFmtId="0" fontId="90" fillId="0" borderId="0" xfId="16" applyFont="1" applyAlignment="1">
      <alignment vertical="top"/>
    </xf>
    <xf numFmtId="0" fontId="91" fillId="0" borderId="0" xfId="16" applyFont="1" applyAlignment="1">
      <alignment vertical="top" wrapText="1"/>
    </xf>
    <xf numFmtId="4" fontId="91" fillId="0" borderId="0" xfId="16" applyNumberFormat="1" applyFont="1" applyAlignment="1">
      <alignment vertical="center" wrapText="1"/>
    </xf>
    <xf numFmtId="0" fontId="91" fillId="0" borderId="0" xfId="16" applyFont="1" applyAlignment="1">
      <alignment horizontal="center" vertical="top"/>
    </xf>
    <xf numFmtId="3" fontId="90" fillId="0" borderId="0" xfId="16" applyNumberFormat="1" applyFont="1" applyAlignment="1">
      <alignment vertical="top"/>
    </xf>
    <xf numFmtId="0" fontId="64" fillId="0" borderId="47" xfId="16" applyFont="1" applyBorder="1" applyAlignment="1">
      <alignment horizontal="center" vertical="top"/>
    </xf>
    <xf numFmtId="0" fontId="65" fillId="0" borderId="0" xfId="16" applyFont="1" applyAlignment="1">
      <alignment horizontal="left" vertical="top" wrapText="1"/>
    </xf>
    <xf numFmtId="4" fontId="92" fillId="0" borderId="0" xfId="16" applyNumberFormat="1" applyFont="1" applyAlignment="1">
      <alignment horizontal="right" vertical="top" wrapText="1"/>
    </xf>
    <xf numFmtId="0" fontId="65" fillId="0" borderId="0" xfId="16" applyFont="1" applyAlignment="1">
      <alignment horizontal="center" vertical="top" wrapText="1"/>
    </xf>
    <xf numFmtId="3" fontId="65" fillId="0" borderId="0" xfId="16" applyNumberFormat="1" applyFont="1" applyAlignment="1">
      <alignment horizontal="right" vertical="top" wrapText="1"/>
    </xf>
    <xf numFmtId="49" fontId="44" fillId="0" borderId="0" xfId="16" applyNumberFormat="1" applyFont="1" applyAlignment="1" applyProtection="1">
      <alignment horizontal="left" vertical="top" wrapText="1" indent="1"/>
      <protection locked="0"/>
    </xf>
    <xf numFmtId="49" fontId="64" fillId="0" borderId="0" xfId="16" applyNumberFormat="1" applyFont="1" applyAlignment="1">
      <alignment vertical="top"/>
    </xf>
    <xf numFmtId="0" fontId="64" fillId="0" borderId="0" xfId="16" applyFont="1" applyAlignment="1">
      <alignment vertical="top" wrapText="1"/>
    </xf>
    <xf numFmtId="4" fontId="93" fillId="0" borderId="0" xfId="16" applyNumberFormat="1" applyFont="1" applyAlignment="1">
      <alignment wrapText="1"/>
    </xf>
    <xf numFmtId="3" fontId="65" fillId="0" borderId="0" xfId="16" applyNumberFormat="1" applyFont="1" applyAlignment="1">
      <alignment vertical="top"/>
    </xf>
    <xf numFmtId="49" fontId="68" fillId="0" borderId="0" xfId="16" applyNumberFormat="1" applyFont="1" applyAlignment="1">
      <alignment vertical="top"/>
    </xf>
    <xf numFmtId="0" fontId="68" fillId="0" borderId="0" xfId="16" applyFont="1" applyAlignment="1">
      <alignment vertical="top" wrapText="1"/>
    </xf>
    <xf numFmtId="4" fontId="86" fillId="0" borderId="0" xfId="16" applyNumberFormat="1" applyFont="1" applyAlignment="1">
      <alignment wrapText="1"/>
    </xf>
    <xf numFmtId="0" fontId="44" fillId="0" borderId="0" xfId="16" applyFont="1" applyAlignment="1" applyProtection="1">
      <alignment horizontal="left" vertical="top" wrapText="1" indent="1"/>
      <protection locked="0"/>
    </xf>
    <xf numFmtId="0" fontId="68" fillId="0" borderId="0" xfId="16" applyFont="1" applyAlignment="1">
      <alignment horizontal="center" vertical="top"/>
    </xf>
    <xf numFmtId="0" fontId="66" fillId="0" borderId="0" xfId="16" applyFont="1" applyAlignment="1">
      <alignment horizontal="left" vertical="top" wrapText="1"/>
    </xf>
    <xf numFmtId="0" fontId="65" fillId="0" borderId="47" xfId="16" applyFont="1" applyBorder="1" applyAlignment="1">
      <alignment horizontal="center" vertical="top" wrapText="1"/>
    </xf>
    <xf numFmtId="0" fontId="63" fillId="0" borderId="0" xfId="16" applyFont="1" applyAlignment="1" applyProtection="1">
      <alignment horizontal="left" vertical="top" wrapText="1"/>
      <protection locked="0"/>
    </xf>
    <xf numFmtId="4" fontId="44" fillId="0" borderId="0" xfId="16" applyNumberFormat="1" applyFont="1" applyAlignment="1" applyProtection="1">
      <alignment vertical="top" wrapText="1"/>
      <protection locked="0"/>
    </xf>
    <xf numFmtId="0" fontId="63" fillId="0" borderId="0" xfId="16" applyFont="1" applyAlignment="1" applyProtection="1">
      <alignment horizontal="center" vertical="top" wrapText="1"/>
      <protection locked="0"/>
    </xf>
    <xf numFmtId="3" fontId="63" fillId="0" borderId="0" xfId="16" applyNumberFormat="1" applyFont="1" applyAlignment="1">
      <alignment vertical="top" wrapText="1"/>
    </xf>
    <xf numFmtId="3" fontId="63" fillId="0" borderId="0" xfId="16" applyNumberFormat="1" applyFont="1"/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quotePrefix="1" applyFont="1" applyBorder="1" applyAlignment="1">
      <alignment horizontal="center" vertical="center"/>
    </xf>
    <xf numFmtId="0" fontId="66" fillId="0" borderId="0" xfId="18" applyFont="1" applyAlignment="1">
      <alignment vertical="top" wrapText="1"/>
    </xf>
    <xf numFmtId="2" fontId="44" fillId="0" borderId="25" xfId="18" applyNumberFormat="1" applyFont="1" applyBorder="1" applyAlignment="1">
      <alignment wrapText="1"/>
    </xf>
    <xf numFmtId="2" fontId="66" fillId="0" borderId="25" xfId="18" applyNumberFormat="1" applyFont="1" applyBorder="1" applyAlignment="1">
      <alignment wrapText="1"/>
    </xf>
    <xf numFmtId="0" fontId="92" fillId="0" borderId="0" xfId="18" applyFont="1" applyAlignment="1">
      <alignment horizontal="right" vertical="top" wrapText="1"/>
    </xf>
    <xf numFmtId="2" fontId="92" fillId="0" borderId="25" xfId="18" applyNumberFormat="1" applyFont="1" applyBorder="1" applyAlignment="1">
      <alignment wrapText="1"/>
    </xf>
    <xf numFmtId="0" fontId="65" fillId="0" borderId="22" xfId="16" applyFont="1" applyBorder="1" applyAlignment="1">
      <alignment vertical="center" wrapText="1"/>
    </xf>
    <xf numFmtId="0" fontId="33" fillId="0" borderId="18" xfId="16" applyFont="1" applyBorder="1" applyAlignment="1">
      <alignment vertical="center" wrapText="1"/>
    </xf>
    <xf numFmtId="49" fontId="65" fillId="0" borderId="0" xfId="16" applyNumberFormat="1" applyFont="1" applyAlignment="1">
      <alignment horizontal="left" vertical="top"/>
    </xf>
    <xf numFmtId="49" fontId="63" fillId="0" borderId="18" xfId="18" applyNumberFormat="1" applyFont="1" applyBorder="1" applyAlignment="1">
      <alignment horizontal="left" vertical="top"/>
    </xf>
    <xf numFmtId="2" fontId="92" fillId="0" borderId="0" xfId="18" applyNumberFormat="1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3" fillId="0" borderId="0" xfId="0" quotePrefix="1" applyFont="1" applyAlignment="1">
      <alignment horizontal="center" vertical="top" wrapText="1"/>
    </xf>
    <xf numFmtId="4" fontId="15" fillId="0" borderId="25" xfId="7" applyNumberFormat="1" applyFont="1" applyBorder="1" applyAlignment="1">
      <alignment vertical="top" wrapText="1"/>
    </xf>
    <xf numFmtId="2" fontId="66" fillId="0" borderId="0" xfId="18" applyNumberFormat="1" applyFont="1" applyAlignment="1">
      <alignment wrapText="1"/>
    </xf>
    <xf numFmtId="2" fontId="15" fillId="0" borderId="0" xfId="18" applyNumberFormat="1" applyFont="1" applyAlignment="1">
      <alignment horizontal="right" vertical="top" wrapText="1"/>
    </xf>
    <xf numFmtId="0" fontId="63" fillId="0" borderId="32" xfId="16" applyFont="1" applyBorder="1" applyAlignment="1">
      <alignment horizontal="left" vertical="top" wrapText="1"/>
    </xf>
    <xf numFmtId="0" fontId="44" fillId="0" borderId="0" xfId="18" applyFont="1" applyAlignment="1">
      <alignment horizontal="left" vertical="top" wrapText="1"/>
    </xf>
    <xf numFmtId="0" fontId="63" fillId="0" borderId="18" xfId="18" applyFont="1" applyBorder="1" applyAlignment="1">
      <alignment horizontal="center" vertical="top"/>
    </xf>
    <xf numFmtId="4" fontId="63" fillId="0" borderId="20" xfId="16" applyNumberFormat="1" applyFont="1" applyBorder="1" applyAlignment="1">
      <alignment vertical="center"/>
    </xf>
    <xf numFmtId="43" fontId="3" fillId="0" borderId="20" xfId="1" applyFont="1" applyBorder="1" applyAlignment="1">
      <alignment horizontal="right"/>
    </xf>
    <xf numFmtId="0" fontId="3" fillId="0" borderId="25" xfId="0" quotePrefix="1" applyFont="1" applyBorder="1" applyAlignment="1">
      <alignment horizontal="center" vertical="top" wrapText="1"/>
    </xf>
    <xf numFmtId="0" fontId="94" fillId="0" borderId="0" xfId="0" applyFont="1" applyAlignment="1">
      <alignment vertical="top" wrapText="1"/>
    </xf>
    <xf numFmtId="0" fontId="42" fillId="0" borderId="0" xfId="0" applyFont="1" applyAlignment="1">
      <alignment vertical="top" wrapText="1"/>
    </xf>
    <xf numFmtId="2" fontId="30" fillId="0" borderId="0" xfId="0" applyNumberFormat="1" applyFont="1" applyAlignment="1">
      <alignment wrapText="1"/>
    </xf>
    <xf numFmtId="0" fontId="17" fillId="0" borderId="0" xfId="0" applyFont="1"/>
    <xf numFmtId="2" fontId="17" fillId="0" borderId="0" xfId="0" applyNumberFormat="1" applyFont="1"/>
    <xf numFmtId="2" fontId="23" fillId="0" borderId="0" xfId="0" applyNumberFormat="1" applyFont="1"/>
    <xf numFmtId="0" fontId="95" fillId="0" borderId="18" xfId="0" applyFont="1" applyBorder="1" applyAlignment="1">
      <alignment vertical="top"/>
    </xf>
    <xf numFmtId="0" fontId="95" fillId="0" borderId="0" xfId="0" applyFont="1" applyAlignment="1">
      <alignment vertical="top"/>
    </xf>
    <xf numFmtId="2" fontId="96" fillId="0" borderId="0" xfId="0" applyNumberFormat="1" applyFont="1" applyAlignment="1">
      <alignment vertical="top"/>
    </xf>
    <xf numFmtId="2" fontId="5" fillId="0" borderId="20" xfId="0" applyNumberFormat="1" applyFont="1" applyBorder="1" applyAlignment="1">
      <alignment vertical="center"/>
    </xf>
    <xf numFmtId="0" fontId="97" fillId="0" borderId="0" xfId="0" applyFont="1"/>
    <xf numFmtId="2" fontId="29" fillId="0" borderId="20" xfId="0" applyNumberFormat="1" applyFont="1" applyBorder="1" applyAlignment="1">
      <alignment vertical="center"/>
    </xf>
    <xf numFmtId="4" fontId="5" fillId="0" borderId="19" xfId="2" applyNumberFormat="1" applyFont="1" applyBorder="1" applyAlignment="1">
      <alignment vertical="center"/>
    </xf>
    <xf numFmtId="4" fontId="29" fillId="0" borderId="19" xfId="2" applyNumberFormat="1" applyFont="1" applyBorder="1" applyAlignment="1">
      <alignment vertical="center"/>
    </xf>
    <xf numFmtId="0" fontId="3" fillId="0" borderId="18" xfId="2" applyBorder="1" applyAlignment="1">
      <alignment horizontal="left" vertical="top" wrapText="1"/>
    </xf>
    <xf numFmtId="4" fontId="29" fillId="0" borderId="19" xfId="0" applyNumberFormat="1" applyFont="1" applyBorder="1" applyAlignment="1">
      <alignment vertical="top"/>
    </xf>
    <xf numFmtId="4" fontId="18" fillId="0" borderId="25" xfId="0" applyNumberFormat="1" applyFont="1" applyBorder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>
      <alignment horizontal="right" vertical="center"/>
    </xf>
    <xf numFmtId="0" fontId="43" fillId="0" borderId="0" xfId="2" applyFont="1"/>
    <xf numFmtId="0" fontId="99" fillId="0" borderId="0" xfId="2" applyFont="1"/>
    <xf numFmtId="2" fontId="15" fillId="0" borderId="25" xfId="0" applyNumberFormat="1" applyFont="1" applyBorder="1" applyAlignment="1">
      <alignment vertical="center" wrapText="1"/>
    </xf>
    <xf numFmtId="49" fontId="5" fillId="0" borderId="18" xfId="2" applyNumberFormat="1" applyFont="1" applyBorder="1" applyAlignment="1">
      <alignment horizontal="left" vertical="top"/>
    </xf>
    <xf numFmtId="4" fontId="5" fillId="0" borderId="0" xfId="0" applyNumberFormat="1" applyFont="1" applyAlignment="1">
      <alignment horizontal="left" vertical="top" wrapText="1"/>
    </xf>
    <xf numFmtId="4" fontId="5" fillId="0" borderId="0" xfId="2" applyNumberFormat="1" applyFont="1" applyAlignment="1" applyProtection="1">
      <alignment vertical="center" wrapText="1"/>
      <protection locked="0"/>
    </xf>
    <xf numFmtId="49" fontId="5" fillId="0" borderId="18" xfId="0" quotePrefix="1" applyNumberFormat="1" applyFont="1" applyBorder="1" applyAlignment="1">
      <alignment horizontal="left" vertical="top"/>
    </xf>
    <xf numFmtId="49" fontId="29" fillId="0" borderId="18" xfId="0" applyNumberFormat="1" applyFont="1" applyBorder="1" applyAlignment="1">
      <alignment horizontal="left" vertical="top"/>
    </xf>
    <xf numFmtId="2" fontId="29" fillId="0" borderId="0" xfId="0" applyNumberFormat="1" applyFont="1" applyAlignment="1">
      <alignment vertical="center" wrapText="1"/>
    </xf>
    <xf numFmtId="0" fontId="29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left" wrapText="1"/>
    </xf>
    <xf numFmtId="0" fontId="31" fillId="0" borderId="17" xfId="0" applyFont="1" applyBorder="1"/>
    <xf numFmtId="0" fontId="29" fillId="0" borderId="18" xfId="0" applyFont="1" applyBorder="1" applyAlignment="1">
      <alignment horizontal="left" wrapText="1"/>
    </xf>
    <xf numFmtId="0" fontId="29" fillId="0" borderId="17" xfId="0" applyFont="1" applyBorder="1" applyAlignment="1">
      <alignment horizontal="left" vertical="top" wrapText="1"/>
    </xf>
    <xf numFmtId="49" fontId="15" fillId="0" borderId="0" xfId="2" applyNumberFormat="1" applyFont="1" applyAlignment="1" applyProtection="1">
      <alignment vertical="top" wrapText="1"/>
      <protection locked="0"/>
    </xf>
    <xf numFmtId="4" fontId="5" fillId="0" borderId="0" xfId="0" quotePrefix="1" applyNumberFormat="1" applyFont="1" applyAlignment="1">
      <alignment horizontal="left" vertical="top" wrapText="1"/>
    </xf>
    <xf numFmtId="4" fontId="5" fillId="0" borderId="19" xfId="2" applyNumberFormat="1" applyFont="1" applyBorder="1" applyAlignment="1">
      <alignment horizontal="right" vertical="center" wrapText="1"/>
    </xf>
    <xf numFmtId="4" fontId="29" fillId="0" borderId="0" xfId="0" quotePrefix="1" applyNumberFormat="1" applyFont="1" applyAlignment="1">
      <alignment horizontal="left" vertical="top" wrapText="1"/>
    </xf>
    <xf numFmtId="4" fontId="29" fillId="0" borderId="19" xfId="2" applyNumberFormat="1" applyFont="1" applyBorder="1" applyAlignment="1">
      <alignment horizontal="right" vertical="center" wrapText="1"/>
    </xf>
    <xf numFmtId="0" fontId="5" fillId="0" borderId="0" xfId="2" applyFont="1" applyAlignment="1">
      <alignment horizontal="left"/>
    </xf>
    <xf numFmtId="0" fontId="4" fillId="0" borderId="13" xfId="0" applyFont="1" applyBorder="1" applyAlignment="1">
      <alignment horizontal="center" vertical="top"/>
    </xf>
    <xf numFmtId="0" fontId="9" fillId="0" borderId="14" xfId="0" applyFont="1" applyBorder="1"/>
    <xf numFmtId="49" fontId="3" fillId="0" borderId="14" xfId="0" applyNumberFormat="1" applyFont="1" applyBorder="1" applyAlignment="1">
      <alignment vertical="top"/>
    </xf>
    <xf numFmtId="49" fontId="3" fillId="0" borderId="14" xfId="0" applyNumberFormat="1" applyFont="1" applyBorder="1" applyAlignment="1">
      <alignment vertical="top" wrapText="1"/>
    </xf>
    <xf numFmtId="0" fontId="7" fillId="0" borderId="15" xfId="0" applyFont="1" applyBorder="1" applyAlignment="1" applyProtection="1">
      <alignment horizontal="left" vertical="top" wrapText="1" indent="1"/>
      <protection locked="0"/>
    </xf>
    <xf numFmtId="4" fontId="7" fillId="0" borderId="5" xfId="0" applyNumberFormat="1" applyFont="1" applyBorder="1" applyAlignment="1" applyProtection="1">
      <alignment horizontal="right" vertical="center" wrapText="1"/>
      <protection locked="0"/>
    </xf>
    <xf numFmtId="0" fontId="3" fillId="0" borderId="14" xfId="0" applyFont="1" applyBorder="1" applyAlignment="1">
      <alignment horizontal="center" vertical="center" wrapText="1"/>
    </xf>
    <xf numFmtId="3" fontId="29" fillId="0" borderId="16" xfId="0" applyNumberFormat="1" applyFont="1" applyBorder="1" applyAlignment="1" applyProtection="1">
      <alignment horizontal="right" vertical="center" wrapText="1"/>
      <protection locked="0"/>
    </xf>
    <xf numFmtId="164" fontId="101" fillId="0" borderId="0" xfId="0" applyNumberFormat="1" applyFont="1" applyAlignment="1">
      <alignment horizontal="left" vertical="top"/>
    </xf>
    <xf numFmtId="165" fontId="101" fillId="0" borderId="18" xfId="0" applyNumberFormat="1" applyFont="1" applyBorder="1" applyAlignment="1">
      <alignment horizontal="left" vertical="top"/>
    </xf>
    <xf numFmtId="0" fontId="101" fillId="0" borderId="0" xfId="0" applyFont="1" applyAlignment="1">
      <alignment horizontal="left" vertical="top" wrapText="1"/>
    </xf>
    <xf numFmtId="2" fontId="102" fillId="0" borderId="0" xfId="0" applyNumberFormat="1" applyFont="1" applyAlignment="1">
      <alignment vertical="center" wrapText="1"/>
    </xf>
    <xf numFmtId="0" fontId="101" fillId="0" borderId="18" xfId="0" applyFont="1" applyBorder="1" applyAlignment="1">
      <alignment horizontal="center" vertical="center"/>
    </xf>
    <xf numFmtId="2" fontId="7" fillId="0" borderId="25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left" vertical="top"/>
    </xf>
    <xf numFmtId="2" fontId="7" fillId="0" borderId="1" xfId="0" applyNumberFormat="1" applyFont="1" applyBorder="1" applyAlignment="1">
      <alignment vertical="center" wrapText="1"/>
    </xf>
    <xf numFmtId="2" fontId="29" fillId="0" borderId="26" xfId="0" applyNumberFormat="1" applyFont="1" applyBorder="1" applyAlignment="1">
      <alignment horizontal="right" vertical="center"/>
    </xf>
    <xf numFmtId="0" fontId="3" fillId="0" borderId="0" xfId="2" applyAlignment="1">
      <alignment horizontal="left"/>
    </xf>
    <xf numFmtId="0" fontId="3" fillId="0" borderId="4" xfId="2" applyBorder="1" applyAlignment="1">
      <alignment horizontal="left" vertical="top" wrapText="1"/>
    </xf>
    <xf numFmtId="0" fontId="29" fillId="0" borderId="0" xfId="2" applyFont="1" applyAlignment="1">
      <alignment wrapText="1"/>
    </xf>
    <xf numFmtId="4" fontId="17" fillId="0" borderId="0" xfId="2" applyNumberFormat="1" applyFont="1" applyAlignment="1" applyProtection="1">
      <alignment vertical="center" wrapText="1"/>
      <protection locked="0"/>
    </xf>
    <xf numFmtId="0" fontId="4" fillId="0" borderId="0" xfId="2" applyFont="1" applyAlignment="1">
      <alignment horizontal="left" vertical="top" wrapText="1"/>
    </xf>
    <xf numFmtId="0" fontId="3" fillId="0" borderId="25" xfId="2" applyBorder="1" applyAlignment="1">
      <alignment horizontal="center" vertical="top" wrapText="1"/>
    </xf>
    <xf numFmtId="0" fontId="3" fillId="0" borderId="21" xfId="2" applyBorder="1" applyAlignment="1">
      <alignment horizontal="left" vertical="top" wrapText="1"/>
    </xf>
    <xf numFmtId="4" fontId="3" fillId="0" borderId="25" xfId="2" applyNumberFormat="1" applyBorder="1" applyAlignment="1">
      <alignment vertical="center" wrapText="1"/>
    </xf>
    <xf numFmtId="0" fontId="101" fillId="0" borderId="18" xfId="2" applyFont="1" applyBorder="1" applyAlignment="1">
      <alignment horizontal="center" vertical="top" wrapText="1"/>
    </xf>
    <xf numFmtId="0" fontId="101" fillId="0" borderId="0" xfId="2" applyFont="1" applyAlignment="1">
      <alignment horizontal="left" vertical="top" wrapText="1"/>
    </xf>
    <xf numFmtId="4" fontId="101" fillId="0" borderId="0" xfId="2" applyNumberFormat="1" applyFont="1" applyAlignment="1">
      <alignment vertical="center" wrapText="1"/>
    </xf>
    <xf numFmtId="0" fontId="101" fillId="0" borderId="18" xfId="2" quotePrefix="1" applyFont="1" applyBorder="1" applyAlignment="1">
      <alignment horizontal="center" vertical="center" wrapText="1"/>
    </xf>
    <xf numFmtId="0" fontId="29" fillId="0" borderId="22" xfId="2" applyFont="1" applyBorder="1" applyAlignment="1">
      <alignment wrapText="1"/>
    </xf>
    <xf numFmtId="49" fontId="46" fillId="0" borderId="18" xfId="0" applyNumberFormat="1" applyFont="1" applyBorder="1" applyAlignment="1">
      <alignment vertical="top" wrapText="1"/>
    </xf>
    <xf numFmtId="49" fontId="46" fillId="0" borderId="18" xfId="0" applyNumberFormat="1" applyFont="1" applyBorder="1" applyAlignment="1">
      <alignment horizontal="left" vertical="top" wrapText="1"/>
    </xf>
    <xf numFmtId="0" fontId="46" fillId="0" borderId="0" xfId="0" applyFont="1" applyAlignment="1">
      <alignment vertical="top" wrapText="1"/>
    </xf>
    <xf numFmtId="2" fontId="29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18" xfId="2" applyFont="1" applyBorder="1" applyAlignment="1">
      <alignment vertical="center" wrapText="1"/>
    </xf>
    <xf numFmtId="2" fontId="29" fillId="0" borderId="20" xfId="2" applyNumberFormat="1" applyFont="1" applyBorder="1" applyAlignment="1">
      <alignment vertical="center" wrapText="1"/>
    </xf>
    <xf numFmtId="2" fontId="29" fillId="0" borderId="0" xfId="2" applyNumberFormat="1" applyFont="1" applyAlignment="1" applyProtection="1">
      <alignment horizontal="right" vertical="center" wrapText="1"/>
      <protection locked="0"/>
    </xf>
    <xf numFmtId="164" fontId="5" fillId="0" borderId="18" xfId="0" applyNumberFormat="1" applyFont="1" applyBorder="1" applyAlignment="1">
      <alignment horizontal="left" vertical="top" wrapText="1"/>
    </xf>
    <xf numFmtId="165" fontId="5" fillId="0" borderId="18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vertical="center" wrapText="1"/>
    </xf>
    <xf numFmtId="0" fontId="31" fillId="0" borderId="17" xfId="0" applyFont="1" applyBorder="1" applyAlignment="1">
      <alignment wrapText="1"/>
    </xf>
    <xf numFmtId="165" fontId="29" fillId="0" borderId="18" xfId="0" applyNumberFormat="1" applyFont="1" applyBorder="1" applyAlignment="1">
      <alignment horizontal="left" vertical="top" wrapText="1"/>
    </xf>
    <xf numFmtId="0" fontId="31" fillId="0" borderId="0" xfId="0" applyFont="1" applyAlignment="1">
      <alignment wrapText="1"/>
    </xf>
    <xf numFmtId="0" fontId="29" fillId="0" borderId="0" xfId="0" applyFont="1" applyAlignment="1">
      <alignment vertical="center" wrapText="1"/>
    </xf>
    <xf numFmtId="0" fontId="29" fillId="0" borderId="18" xfId="0" applyFont="1" applyBorder="1" applyAlignment="1">
      <alignment horizontal="center" vertical="center" wrapText="1"/>
    </xf>
    <xf numFmtId="2" fontId="29" fillId="0" borderId="19" xfId="0" applyNumberFormat="1" applyFont="1" applyBorder="1" applyAlignment="1">
      <alignment horizontal="right" vertical="center" wrapText="1"/>
    </xf>
    <xf numFmtId="0" fontId="32" fillId="0" borderId="0" xfId="0" applyFont="1" applyAlignment="1">
      <alignment wrapText="1"/>
    </xf>
    <xf numFmtId="0" fontId="29" fillId="0" borderId="19" xfId="0" applyFont="1" applyBorder="1" applyAlignment="1">
      <alignment vertical="center" wrapText="1"/>
    </xf>
    <xf numFmtId="49" fontId="17" fillId="0" borderId="0" xfId="0" applyNumberFormat="1" applyFont="1" applyAlignment="1" applyProtection="1">
      <alignment horizontal="left" vertical="top" wrapText="1"/>
      <protection locked="0"/>
    </xf>
    <xf numFmtId="0" fontId="29" fillId="0" borderId="17" xfId="0" applyFont="1" applyBorder="1" applyAlignment="1" applyProtection="1">
      <alignment horizontal="left" vertical="top" wrapText="1"/>
      <protection locked="0"/>
    </xf>
    <xf numFmtId="49" fontId="29" fillId="0" borderId="18" xfId="0" applyNumberFormat="1" applyFont="1" applyBorder="1" applyAlignment="1" applyProtection="1">
      <alignment horizontal="left" vertical="top" wrapText="1"/>
      <protection locked="0"/>
    </xf>
    <xf numFmtId="164" fontId="29" fillId="0" borderId="18" xfId="0" applyNumberFormat="1" applyFont="1" applyBorder="1" applyAlignment="1">
      <alignment horizontal="left" vertical="top" wrapText="1"/>
    </xf>
    <xf numFmtId="4" fontId="29" fillId="0" borderId="19" xfId="0" applyNumberFormat="1" applyFont="1" applyBorder="1" applyAlignment="1">
      <alignment horizontal="right" vertical="center" wrapText="1"/>
    </xf>
    <xf numFmtId="4" fontId="17" fillId="0" borderId="25" xfId="0" applyNumberFormat="1" applyFont="1" applyBorder="1" applyAlignment="1" applyProtection="1">
      <alignment horizontal="right" vertical="center" wrapText="1"/>
      <protection locked="0"/>
    </xf>
    <xf numFmtId="2" fontId="5" fillId="0" borderId="20" xfId="0" applyNumberFormat="1" applyFont="1" applyBorder="1" applyAlignment="1" applyProtection="1">
      <alignment horizontal="right" vertical="center" wrapText="1"/>
      <protection locked="0"/>
    </xf>
    <xf numFmtId="0" fontId="29" fillId="0" borderId="17" xfId="0" applyFont="1" applyBorder="1" applyAlignment="1">
      <alignment wrapText="1"/>
    </xf>
    <xf numFmtId="49" fontId="5" fillId="0" borderId="25" xfId="0" applyNumberFormat="1" applyFont="1" applyBorder="1" applyAlignment="1">
      <alignment vertical="top" wrapText="1"/>
    </xf>
    <xf numFmtId="165" fontId="29" fillId="0" borderId="25" xfId="0" applyNumberFormat="1" applyFont="1" applyBorder="1" applyAlignment="1">
      <alignment horizontal="left" vertical="top" wrapText="1"/>
    </xf>
    <xf numFmtId="4" fontId="29" fillId="0" borderId="0" xfId="0" applyNumberFormat="1" applyFont="1" applyAlignment="1">
      <alignment horizontal="right" vertical="center" wrapText="1"/>
    </xf>
    <xf numFmtId="3" fontId="29" fillId="0" borderId="20" xfId="0" applyNumberFormat="1" applyFont="1" applyBorder="1" applyAlignment="1">
      <alignment vertical="center" wrapText="1"/>
    </xf>
    <xf numFmtId="165" fontId="5" fillId="0" borderId="25" xfId="0" applyNumberFormat="1" applyFont="1" applyBorder="1" applyAlignment="1">
      <alignment horizontal="left" vertical="top" wrapText="1"/>
    </xf>
    <xf numFmtId="0" fontId="58" fillId="0" borderId="0" xfId="0" applyFont="1" applyAlignment="1">
      <alignment wrapText="1"/>
    </xf>
    <xf numFmtId="4" fontId="5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0" fontId="29" fillId="0" borderId="0" xfId="2" applyFont="1" applyAlignment="1">
      <alignment horizontal="left" vertical="top"/>
    </xf>
    <xf numFmtId="0" fontId="29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wrapText="1"/>
    </xf>
    <xf numFmtId="4" fontId="29" fillId="0" borderId="0" xfId="2" applyNumberFormat="1" applyFont="1" applyAlignment="1">
      <alignment vertical="center" wrapText="1"/>
    </xf>
    <xf numFmtId="0" fontId="29" fillId="0" borderId="0" xfId="2" applyFont="1" applyAlignment="1">
      <alignment horizontal="center" vertical="center" wrapText="1"/>
    </xf>
    <xf numFmtId="3" fontId="29" fillId="0" borderId="0" xfId="2" applyNumberFormat="1" applyFont="1" applyAlignment="1">
      <alignment vertical="center" wrapText="1"/>
    </xf>
    <xf numFmtId="0" fontId="29" fillId="0" borderId="1" xfId="2" applyFont="1" applyBorder="1" applyAlignment="1">
      <alignment horizontal="left" wrapText="1"/>
    </xf>
    <xf numFmtId="1" fontId="5" fillId="0" borderId="0" xfId="2" applyNumberFormat="1" applyFont="1" applyAlignment="1">
      <alignment horizontal="left" vertical="top" wrapText="1"/>
    </xf>
    <xf numFmtId="0" fontId="29" fillId="0" borderId="1" xfId="2" applyFont="1" applyBorder="1" applyAlignment="1">
      <alignment horizontal="center" vertical="center" wrapText="1"/>
    </xf>
    <xf numFmtId="3" fontId="29" fillId="0" borderId="0" xfId="2" applyNumberFormat="1" applyFont="1" applyAlignment="1">
      <alignment horizontal="right" vertical="center" wrapText="1"/>
    </xf>
    <xf numFmtId="0" fontId="29" fillId="0" borderId="3" xfId="2" applyFont="1" applyBorder="1" applyAlignment="1">
      <alignment horizontal="centerContinuous" wrapText="1"/>
    </xf>
    <xf numFmtId="0" fontId="29" fillId="0" borderId="7" xfId="2" applyFont="1" applyBorder="1" applyAlignment="1">
      <alignment horizontal="center" vertical="top" wrapText="1"/>
    </xf>
    <xf numFmtId="0" fontId="29" fillId="0" borderId="8" xfId="2" applyFont="1" applyBorder="1" applyAlignment="1">
      <alignment horizontal="center" wrapText="1"/>
    </xf>
    <xf numFmtId="0" fontId="5" fillId="0" borderId="13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5" fillId="0" borderId="14" xfId="2" applyFont="1" applyBorder="1" applyAlignment="1">
      <alignment horizontal="center" vertical="top" wrapText="1"/>
    </xf>
    <xf numFmtId="0" fontId="29" fillId="0" borderId="14" xfId="2" applyFont="1" applyBorder="1" applyAlignment="1">
      <alignment horizontal="center" vertical="top" wrapText="1"/>
    </xf>
    <xf numFmtId="0" fontId="29" fillId="0" borderId="4" xfId="2" applyFont="1" applyBorder="1" applyAlignment="1">
      <alignment horizontal="center" vertical="top" wrapText="1"/>
    </xf>
    <xf numFmtId="4" fontId="29" fillId="0" borderId="15" xfId="2" applyNumberFormat="1" applyFont="1" applyBorder="1" applyAlignment="1">
      <alignment vertical="center" wrapText="1"/>
    </xf>
    <xf numFmtId="0" fontId="29" fillId="0" borderId="14" xfId="2" quotePrefix="1" applyFont="1" applyBorder="1" applyAlignment="1">
      <alignment horizontal="center" vertical="center" wrapText="1"/>
    </xf>
    <xf numFmtId="49" fontId="5" fillId="0" borderId="17" xfId="0" applyNumberFormat="1" applyFont="1" applyBorder="1" applyAlignment="1" applyProtection="1">
      <alignment horizontal="center" vertical="top" wrapText="1"/>
      <protection locked="0"/>
    </xf>
    <xf numFmtId="0" fontId="46" fillId="0" borderId="25" xfId="0" applyFont="1" applyBorder="1" applyAlignment="1">
      <alignment vertical="top" wrapText="1"/>
    </xf>
    <xf numFmtId="49" fontId="29" fillId="0" borderId="18" xfId="0" applyNumberFormat="1" applyFont="1" applyBorder="1" applyAlignment="1" applyProtection="1">
      <alignment vertical="top" wrapText="1"/>
      <protection locked="0"/>
    </xf>
    <xf numFmtId="0" fontId="46" fillId="0" borderId="0" xfId="0" applyFont="1" applyAlignment="1">
      <alignment horizontal="left" vertical="top" wrapText="1"/>
    </xf>
    <xf numFmtId="4" fontId="29" fillId="0" borderId="25" xfId="0" applyNumberFormat="1" applyFont="1" applyBorder="1" applyAlignment="1" applyProtection="1">
      <alignment horizontal="right" vertical="center" wrapText="1"/>
      <protection locked="0"/>
    </xf>
    <xf numFmtId="3" fontId="29" fillId="0" borderId="18" xfId="0" applyNumberFormat="1" applyFont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>
      <alignment horizontal="left" wrapText="1"/>
    </xf>
    <xf numFmtId="49" fontId="29" fillId="0" borderId="18" xfId="0" applyNumberFormat="1" applyFont="1" applyBorder="1" applyAlignment="1">
      <alignment horizontal="left" wrapText="1"/>
    </xf>
    <xf numFmtId="49" fontId="29" fillId="0" borderId="0" xfId="0" applyNumberFormat="1" applyFont="1" applyAlignment="1" applyProtection="1">
      <alignment horizontal="left" vertical="top" indent="1"/>
      <protection locked="0"/>
    </xf>
    <xf numFmtId="49" fontId="5" fillId="0" borderId="18" xfId="0" applyNumberFormat="1" applyFont="1" applyBorder="1" applyAlignment="1">
      <alignment horizontal="left" wrapText="1"/>
    </xf>
    <xf numFmtId="49" fontId="29" fillId="0" borderId="25" xfId="0" applyNumberFormat="1" applyFont="1" applyBorder="1" applyAlignment="1">
      <alignment horizontal="left" vertical="top" wrapText="1"/>
    </xf>
    <xf numFmtId="0" fontId="5" fillId="0" borderId="25" xfId="2" applyFont="1" applyBorder="1" applyAlignment="1">
      <alignment wrapText="1"/>
    </xf>
    <xf numFmtId="0" fontId="5" fillId="0" borderId="0" xfId="2" applyFont="1" applyAlignment="1">
      <alignment vertical="top" wrapText="1"/>
    </xf>
    <xf numFmtId="0" fontId="29" fillId="0" borderId="0" xfId="2" applyFont="1" applyAlignment="1">
      <alignment vertical="top" wrapText="1"/>
    </xf>
    <xf numFmtId="0" fontId="29" fillId="0" borderId="0" xfId="2" applyFont="1" applyAlignment="1">
      <alignment vertical="center" wrapText="1"/>
    </xf>
    <xf numFmtId="49" fontId="17" fillId="0" borderId="0" xfId="2" applyNumberFormat="1" applyFont="1" applyAlignment="1" applyProtection="1">
      <alignment vertical="top" wrapText="1"/>
      <protection locked="0"/>
    </xf>
    <xf numFmtId="4" fontId="17" fillId="0" borderId="0" xfId="2" applyNumberFormat="1" applyFont="1" applyAlignment="1" applyProtection="1">
      <alignment horizontal="left" vertical="center" wrapText="1"/>
      <protection locked="0"/>
    </xf>
    <xf numFmtId="49" fontId="29" fillId="0" borderId="0" xfId="2" applyNumberFormat="1" applyFont="1" applyAlignment="1" applyProtection="1">
      <alignment vertical="top" wrapText="1"/>
      <protection locked="0"/>
    </xf>
    <xf numFmtId="49" fontId="46" fillId="0" borderId="18" xfId="0" applyNumberFormat="1" applyFont="1" applyBorder="1" applyAlignment="1">
      <alignment vertical="top"/>
    </xf>
    <xf numFmtId="49" fontId="46" fillId="0" borderId="18" xfId="0" applyNumberFormat="1" applyFont="1" applyBorder="1" applyAlignment="1">
      <alignment horizontal="left" vertical="top"/>
    </xf>
    <xf numFmtId="2" fontId="29" fillId="0" borderId="25" xfId="0" applyNumberFormat="1" applyFont="1" applyBorder="1" applyAlignment="1" applyProtection="1">
      <alignment horizontal="right" vertical="top" wrapText="1"/>
      <protection locked="0"/>
    </xf>
    <xf numFmtId="49" fontId="5" fillId="0" borderId="0" xfId="0" quotePrefix="1" applyNumberFormat="1" applyFont="1" applyAlignment="1">
      <alignment horizontal="left" vertical="top"/>
    </xf>
    <xf numFmtId="49" fontId="46" fillId="0" borderId="25" xfId="0" applyNumberFormat="1" applyFont="1" applyBorder="1" applyAlignment="1">
      <alignment vertical="top"/>
    </xf>
    <xf numFmtId="49" fontId="5" fillId="0" borderId="0" xfId="2" applyNumberFormat="1" applyFont="1" applyAlignment="1" applyProtection="1">
      <alignment vertical="top" wrapText="1"/>
      <protection locked="0"/>
    </xf>
    <xf numFmtId="4" fontId="29" fillId="0" borderId="19" xfId="0" applyNumberFormat="1" applyFont="1" applyBorder="1" applyAlignment="1">
      <alignment vertical="center" wrapText="1"/>
    </xf>
    <xf numFmtId="0" fontId="31" fillId="0" borderId="25" xfId="0" applyFont="1" applyBorder="1" applyAlignment="1">
      <alignment vertical="top" wrapText="1"/>
    </xf>
    <xf numFmtId="49" fontId="5" fillId="0" borderId="18" xfId="0" quotePrefix="1" applyNumberFormat="1" applyFont="1" applyBorder="1" applyAlignment="1">
      <alignment horizontal="left" vertical="top" wrapText="1"/>
    </xf>
    <xf numFmtId="3" fontId="31" fillId="0" borderId="19" xfId="0" applyNumberFormat="1" applyFont="1" applyBorder="1" applyAlignment="1" applyProtection="1">
      <alignment vertical="center" wrapText="1"/>
      <protection locked="0"/>
    </xf>
    <xf numFmtId="49" fontId="5" fillId="0" borderId="18" xfId="0" applyNumberFormat="1" applyFont="1" applyBorder="1" applyAlignment="1">
      <alignment vertical="top" wrapText="1"/>
    </xf>
    <xf numFmtId="2" fontId="29" fillId="0" borderId="0" xfId="0" applyNumberFormat="1" applyFont="1" applyAlignment="1">
      <alignment horizontal="right" vertical="center" wrapText="1"/>
    </xf>
    <xf numFmtId="3" fontId="29" fillId="0" borderId="19" xfId="0" applyNumberFormat="1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left" vertical="top"/>
    </xf>
    <xf numFmtId="165" fontId="5" fillId="0" borderId="18" xfId="0" applyNumberFormat="1" applyFont="1" applyBorder="1" applyAlignment="1">
      <alignment horizontal="left" vertical="top"/>
    </xf>
    <xf numFmtId="0" fontId="58" fillId="0" borderId="0" xfId="0" applyFont="1"/>
    <xf numFmtId="0" fontId="29" fillId="0" borderId="22" xfId="0" applyFont="1" applyBorder="1"/>
    <xf numFmtId="164" fontId="29" fillId="0" borderId="18" xfId="0" applyNumberFormat="1" applyFont="1" applyBorder="1" applyAlignment="1">
      <alignment horizontal="left" vertical="top"/>
    </xf>
    <xf numFmtId="165" fontId="29" fillId="0" borderId="18" xfId="0" applyNumberFormat="1" applyFont="1" applyBorder="1" applyAlignment="1">
      <alignment horizontal="left" vertical="top"/>
    </xf>
    <xf numFmtId="0" fontId="31" fillId="0" borderId="0" xfId="0" applyFont="1"/>
    <xf numFmtId="0" fontId="32" fillId="0" borderId="0" xfId="0" applyFont="1"/>
    <xf numFmtId="164" fontId="29" fillId="0" borderId="0" xfId="0" applyNumberFormat="1" applyFont="1" applyAlignment="1">
      <alignment horizontal="left" vertical="top"/>
    </xf>
    <xf numFmtId="2" fontId="5" fillId="0" borderId="0" xfId="2" applyNumberFormat="1" applyFont="1" applyAlignment="1" applyProtection="1">
      <alignment horizontal="right" vertical="center" wrapText="1"/>
      <protection locked="0"/>
    </xf>
    <xf numFmtId="49" fontId="17" fillId="0" borderId="0" xfId="2" applyNumberFormat="1" applyFont="1" applyAlignment="1" applyProtection="1">
      <alignment horizontal="left" vertical="top" wrapText="1" indent="1"/>
      <protection locked="0"/>
    </xf>
    <xf numFmtId="2" fontId="17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23" xfId="0" applyFont="1" applyBorder="1" applyAlignment="1">
      <alignment wrapText="1"/>
    </xf>
    <xf numFmtId="49" fontId="5" fillId="0" borderId="10" xfId="0" applyNumberFormat="1" applyFont="1" applyBorder="1" applyAlignment="1">
      <alignment vertical="top" wrapText="1"/>
    </xf>
    <xf numFmtId="164" fontId="29" fillId="0" borderId="8" xfId="0" applyNumberFormat="1" applyFont="1" applyBorder="1" applyAlignment="1">
      <alignment horizontal="left" vertical="top" wrapText="1"/>
    </xf>
    <xf numFmtId="165" fontId="29" fillId="0" borderId="10" xfId="0" applyNumberFormat="1" applyFont="1" applyBorder="1" applyAlignment="1">
      <alignment horizontal="left" vertical="top" wrapText="1"/>
    </xf>
    <xf numFmtId="49" fontId="29" fillId="0" borderId="1" xfId="0" applyNumberFormat="1" applyFont="1" applyBorder="1" applyAlignment="1" applyProtection="1">
      <alignment horizontal="left" vertical="top" wrapText="1"/>
      <protection locked="0"/>
    </xf>
    <xf numFmtId="4" fontId="29" fillId="0" borderId="1" xfId="0" applyNumberFormat="1" applyFont="1" applyBorder="1" applyAlignment="1">
      <alignment horizontal="right" vertical="center" wrapText="1"/>
    </xf>
    <xf numFmtId="0" fontId="29" fillId="0" borderId="8" xfId="0" applyFont="1" applyBorder="1" applyAlignment="1">
      <alignment horizontal="center" vertical="center" wrapText="1"/>
    </xf>
    <xf numFmtId="3" fontId="29" fillId="0" borderId="26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vertical="top" wrapText="1"/>
    </xf>
    <xf numFmtId="164" fontId="29" fillId="0" borderId="0" xfId="0" applyNumberFormat="1" applyFont="1" applyAlignment="1">
      <alignment horizontal="left" vertical="top" wrapText="1"/>
    </xf>
    <xf numFmtId="165" fontId="29" fillId="0" borderId="0" xfId="0" applyNumberFormat="1" applyFont="1" applyAlignment="1">
      <alignment horizontal="left" vertical="top" wrapText="1"/>
    </xf>
    <xf numFmtId="49" fontId="29" fillId="0" borderId="0" xfId="0" applyNumberFormat="1" applyFont="1" applyAlignment="1" applyProtection="1">
      <alignment horizontal="left" vertical="top" wrapText="1"/>
      <protection locked="0"/>
    </xf>
    <xf numFmtId="0" fontId="29" fillId="0" borderId="0" xfId="0" applyFont="1" applyAlignment="1">
      <alignment horizontal="center" vertical="center" wrapText="1"/>
    </xf>
    <xf numFmtId="3" fontId="29" fillId="0" borderId="0" xfId="0" applyNumberFormat="1" applyFont="1" applyAlignment="1">
      <alignment vertical="center" wrapText="1"/>
    </xf>
    <xf numFmtId="0" fontId="29" fillId="0" borderId="17" xfId="2" applyFont="1" applyBorder="1" applyAlignment="1">
      <alignment vertical="top" wrapText="1"/>
    </xf>
    <xf numFmtId="49" fontId="5" fillId="0" borderId="18" xfId="2" applyNumberFormat="1" applyFont="1" applyBorder="1" applyAlignment="1">
      <alignment horizontal="left" wrapText="1"/>
    </xf>
    <xf numFmtId="49" fontId="29" fillId="0" borderId="18" xfId="2" applyNumberFormat="1" applyFont="1" applyBorder="1" applyAlignment="1">
      <alignment vertical="top" wrapText="1"/>
    </xf>
    <xf numFmtId="49" fontId="29" fillId="0" borderId="0" xfId="2" applyNumberFormat="1" applyFont="1" applyAlignment="1" applyProtection="1">
      <alignment horizontal="left" vertical="top" wrapText="1" indent="1"/>
      <protection locked="0"/>
    </xf>
    <xf numFmtId="0" fontId="29" fillId="0" borderId="18" xfId="2" applyFont="1" applyBorder="1" applyAlignment="1">
      <alignment horizontal="center" vertical="center" wrapText="1"/>
    </xf>
    <xf numFmtId="49" fontId="17" fillId="0" borderId="0" xfId="2" applyNumberFormat="1" applyFont="1" applyAlignment="1" applyProtection="1">
      <alignment horizontal="left" vertical="top" wrapText="1"/>
      <protection locked="0"/>
    </xf>
    <xf numFmtId="0" fontId="5" fillId="0" borderId="0" xfId="2" applyFont="1" applyAlignment="1">
      <alignment horizontal="center"/>
    </xf>
    <xf numFmtId="4" fontId="29" fillId="0" borderId="0" xfId="2" applyNumberFormat="1" applyFont="1" applyAlignment="1">
      <alignment vertical="center"/>
    </xf>
    <xf numFmtId="0" fontId="29" fillId="0" borderId="0" xfId="2" applyFont="1" applyAlignment="1">
      <alignment horizontal="center" vertical="center"/>
    </xf>
    <xf numFmtId="3" fontId="29" fillId="0" borderId="0" xfId="2" applyNumberFormat="1" applyFont="1" applyAlignment="1">
      <alignment vertical="center"/>
    </xf>
    <xf numFmtId="0" fontId="29" fillId="0" borderId="0" xfId="2" applyFont="1"/>
    <xf numFmtId="0" fontId="29" fillId="0" borderId="1" xfId="2" applyFont="1" applyBorder="1" applyAlignment="1">
      <alignment horizontal="left"/>
    </xf>
    <xf numFmtId="1" fontId="5" fillId="0" borderId="0" xfId="2" applyNumberFormat="1" applyFont="1" applyAlignment="1">
      <alignment horizontal="left" vertical="top"/>
    </xf>
    <xf numFmtId="0" fontId="29" fillId="0" borderId="1" xfId="2" applyFont="1" applyBorder="1" applyAlignment="1">
      <alignment horizontal="center" vertical="center"/>
    </xf>
    <xf numFmtId="3" fontId="29" fillId="0" borderId="0" xfId="2" applyNumberFormat="1" applyFont="1" applyAlignment="1">
      <alignment horizontal="right" vertical="center"/>
    </xf>
    <xf numFmtId="0" fontId="29" fillId="0" borderId="3" xfId="2" applyFont="1" applyBorder="1" applyAlignment="1">
      <alignment horizontal="centerContinuous"/>
    </xf>
    <xf numFmtId="0" fontId="29" fillId="0" borderId="7" xfId="2" applyFont="1" applyBorder="1" applyAlignment="1">
      <alignment horizontal="center" vertical="top"/>
    </xf>
    <xf numFmtId="0" fontId="29" fillId="0" borderId="8" xfId="2" applyFont="1" applyBorder="1" applyAlignment="1">
      <alignment horizontal="center"/>
    </xf>
    <xf numFmtId="0" fontId="5" fillId="0" borderId="25" xfId="2" applyFont="1" applyBorder="1" applyAlignment="1">
      <alignment horizontal="center" vertical="top" wrapText="1"/>
    </xf>
    <xf numFmtId="0" fontId="5" fillId="0" borderId="18" xfId="2" applyFont="1" applyBorder="1" applyAlignment="1">
      <alignment horizontal="center" vertical="top" wrapText="1"/>
    </xf>
    <xf numFmtId="0" fontId="5" fillId="0" borderId="0" xfId="2" applyFont="1" applyAlignment="1">
      <alignment horizontal="left" vertical="top" wrapText="1"/>
    </xf>
    <xf numFmtId="4" fontId="5" fillId="0" borderId="0" xfId="2" applyNumberFormat="1" applyFont="1" applyAlignment="1">
      <alignment vertical="center" wrapText="1"/>
    </xf>
    <xf numFmtId="0" fontId="5" fillId="0" borderId="21" xfId="2" quotePrefix="1" applyFont="1" applyBorder="1" applyAlignment="1">
      <alignment horizontal="center" vertical="center" wrapText="1"/>
    </xf>
    <xf numFmtId="0" fontId="29" fillId="0" borderId="21" xfId="2" quotePrefix="1" applyFont="1" applyBorder="1" applyAlignment="1">
      <alignment horizontal="center" vertical="center" wrapText="1"/>
    </xf>
    <xf numFmtId="0" fontId="29" fillId="0" borderId="18" xfId="2" quotePrefix="1" applyFont="1" applyBorder="1" applyAlignment="1">
      <alignment horizontal="center" vertical="center" wrapText="1"/>
    </xf>
    <xf numFmtId="2" fontId="29" fillId="0" borderId="20" xfId="2" applyNumberFormat="1" applyFont="1" applyBorder="1" applyAlignment="1">
      <alignment horizontal="center" vertical="center" wrapText="1"/>
    </xf>
    <xf numFmtId="0" fontId="31" fillId="0" borderId="17" xfId="0" applyFont="1" applyBorder="1" applyAlignment="1">
      <alignment vertical="top"/>
    </xf>
    <xf numFmtId="2" fontId="31" fillId="0" borderId="0" xfId="0" applyNumberFormat="1" applyFont="1" applyAlignment="1">
      <alignment vertical="top"/>
    </xf>
    <xf numFmtId="0" fontId="31" fillId="0" borderId="18" xfId="0" applyFont="1" applyBorder="1" applyAlignment="1">
      <alignment vertical="top"/>
    </xf>
    <xf numFmtId="49" fontId="31" fillId="0" borderId="25" xfId="0" applyNumberFormat="1" applyFont="1" applyBorder="1" applyAlignment="1">
      <alignment vertical="top"/>
    </xf>
    <xf numFmtId="0" fontId="31" fillId="0" borderId="0" xfId="0" applyFont="1" applyAlignment="1">
      <alignment vertical="top"/>
    </xf>
    <xf numFmtId="4" fontId="17" fillId="0" borderId="0" xfId="0" applyNumberFormat="1" applyFont="1" applyAlignment="1" applyProtection="1">
      <alignment horizontal="right" vertical="center" wrapText="1"/>
      <protection locked="0"/>
    </xf>
    <xf numFmtId="4" fontId="23" fillId="0" borderId="0" xfId="2" applyNumberFormat="1" applyFont="1" applyAlignment="1" applyProtection="1">
      <alignment vertical="center" wrapText="1"/>
      <protection locked="0"/>
    </xf>
    <xf numFmtId="4" fontId="23" fillId="0" borderId="0" xfId="2" applyNumberFormat="1" applyFont="1" applyAlignment="1" applyProtection="1">
      <alignment horizontal="left" vertical="center" wrapText="1"/>
      <protection locked="0"/>
    </xf>
    <xf numFmtId="0" fontId="29" fillId="0" borderId="0" xfId="0" applyFont="1" applyAlignment="1">
      <alignment horizontal="left" vertical="top" wrapText="1" indent="1"/>
    </xf>
    <xf numFmtId="0" fontId="103" fillId="0" borderId="22" xfId="0" applyFont="1" applyBorder="1"/>
    <xf numFmtId="0" fontId="103" fillId="0" borderId="18" xfId="0" applyFont="1" applyBorder="1" applyAlignment="1">
      <alignment horizontal="center" vertical="center"/>
    </xf>
    <xf numFmtId="0" fontId="103" fillId="0" borderId="0" xfId="0" applyFont="1"/>
    <xf numFmtId="49" fontId="5" fillId="0" borderId="25" xfId="0" applyNumberFormat="1" applyFont="1" applyBorder="1" applyAlignment="1">
      <alignment vertical="top"/>
    </xf>
    <xf numFmtId="0" fontId="29" fillId="0" borderId="17" xfId="0" applyFont="1" applyBorder="1"/>
    <xf numFmtId="165" fontId="29" fillId="0" borderId="25" xfId="0" applyNumberFormat="1" applyFont="1" applyBorder="1" applyAlignment="1">
      <alignment horizontal="left" vertical="top"/>
    </xf>
    <xf numFmtId="4" fontId="23" fillId="0" borderId="25" xfId="0" applyNumberFormat="1" applyFont="1" applyBorder="1" applyAlignment="1">
      <alignment horizontal="right" vertical="center" wrapText="1"/>
    </xf>
    <xf numFmtId="49" fontId="17" fillId="0" borderId="0" xfId="0" applyNumberFormat="1" applyFont="1" applyAlignment="1" applyProtection="1">
      <alignment horizontal="left" vertical="top" wrapText="1" indent="1"/>
      <protection locked="0"/>
    </xf>
    <xf numFmtId="2" fontId="23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23" xfId="0" applyFont="1" applyBorder="1"/>
    <xf numFmtId="49" fontId="5" fillId="0" borderId="10" xfId="0" applyNumberFormat="1" applyFont="1" applyBorder="1" applyAlignment="1">
      <alignment vertical="top"/>
    </xf>
    <xf numFmtId="164" fontId="29" fillId="0" borderId="8" xfId="0" applyNumberFormat="1" applyFont="1" applyBorder="1" applyAlignment="1">
      <alignment horizontal="left" vertical="top"/>
    </xf>
    <xf numFmtId="165" fontId="29" fillId="0" borderId="10" xfId="0" applyNumberFormat="1" applyFont="1" applyBorder="1" applyAlignment="1">
      <alignment horizontal="left" vertical="top"/>
    </xf>
    <xf numFmtId="49" fontId="17" fillId="0" borderId="1" xfId="0" applyNumberFormat="1" applyFont="1" applyBorder="1" applyAlignment="1" applyProtection="1">
      <alignment horizontal="left" vertical="top" wrapText="1" indent="1"/>
      <protection locked="0"/>
    </xf>
    <xf numFmtId="4" fontId="17" fillId="0" borderId="1" xfId="0" applyNumberFormat="1" applyFont="1" applyBorder="1" applyAlignment="1">
      <alignment horizontal="right" vertical="center" wrapText="1"/>
    </xf>
    <xf numFmtId="0" fontId="29" fillId="0" borderId="8" xfId="0" applyFont="1" applyBorder="1" applyAlignment="1">
      <alignment horizontal="center" vertical="center"/>
    </xf>
    <xf numFmtId="49" fontId="5" fillId="0" borderId="0" xfId="0" applyNumberFormat="1" applyFont="1" applyAlignment="1">
      <alignment vertical="top"/>
    </xf>
    <xf numFmtId="165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3" fontId="29" fillId="0" borderId="0" xfId="0" applyNumberFormat="1" applyFont="1" applyAlignment="1">
      <alignment vertical="center"/>
    </xf>
    <xf numFmtId="0" fontId="29" fillId="0" borderId="0" xfId="2" applyFont="1" applyAlignment="1">
      <alignment vertical="center"/>
    </xf>
    <xf numFmtId="49" fontId="5" fillId="0" borderId="18" xfId="2" applyNumberFormat="1" applyFont="1" applyBorder="1" applyAlignment="1">
      <alignment vertical="top" wrapText="1"/>
    </xf>
    <xf numFmtId="0" fontId="5" fillId="0" borderId="18" xfId="2" applyFont="1" applyBorder="1" applyAlignment="1">
      <alignment horizontal="center" vertical="center" wrapText="1"/>
    </xf>
    <xf numFmtId="0" fontId="29" fillId="0" borderId="25" xfId="2" applyFont="1" applyBorder="1" applyAlignment="1">
      <alignment wrapText="1"/>
    </xf>
    <xf numFmtId="49" fontId="29" fillId="0" borderId="18" xfId="2" applyNumberFormat="1" applyFont="1" applyBorder="1" applyAlignment="1">
      <alignment horizontal="left" wrapText="1"/>
    </xf>
    <xf numFmtId="4" fontId="17" fillId="0" borderId="25" xfId="2" applyNumberFormat="1" applyFont="1" applyBorder="1" applyAlignment="1" applyProtection="1">
      <alignment horizontal="left" vertical="center" wrapText="1"/>
      <protection locked="0"/>
    </xf>
    <xf numFmtId="4" fontId="5" fillId="0" borderId="20" xfId="0" applyNumberFormat="1" applyFont="1" applyBorder="1" applyAlignment="1">
      <alignment vertical="center" wrapText="1"/>
    </xf>
    <xf numFmtId="4" fontId="29" fillId="0" borderId="20" xfId="0" applyNumberFormat="1" applyFont="1" applyBorder="1" applyAlignment="1">
      <alignment vertical="center" wrapText="1"/>
    </xf>
    <xf numFmtId="0" fontId="29" fillId="0" borderId="18" xfId="2" applyFont="1" applyBorder="1" applyAlignment="1">
      <alignment horizontal="center" vertical="top" wrapText="1"/>
    </xf>
    <xf numFmtId="0" fontId="29" fillId="0" borderId="0" xfId="2" applyFont="1" applyAlignment="1">
      <alignment horizontal="center" vertical="top" wrapText="1"/>
    </xf>
    <xf numFmtId="4" fontId="29" fillId="0" borderId="0" xfId="0" applyNumberFormat="1" applyFont="1" applyAlignment="1" applyProtection="1">
      <alignment horizontal="right" vertical="center" wrapText="1"/>
      <protection locked="0"/>
    </xf>
    <xf numFmtId="4" fontId="104" fillId="0" borderId="0" xfId="2" applyNumberFormat="1" applyFont="1" applyAlignment="1" applyProtection="1">
      <alignment horizontal="left" vertical="center" wrapText="1"/>
      <protection locked="0"/>
    </xf>
    <xf numFmtId="0" fontId="5" fillId="0" borderId="0" xfId="2" applyFont="1" applyAlignment="1">
      <alignment vertical="center" wrapText="1"/>
    </xf>
    <xf numFmtId="49" fontId="104" fillId="0" borderId="0" xfId="2" applyNumberFormat="1" applyFont="1" applyAlignment="1" applyProtection="1">
      <alignment vertical="top" wrapText="1"/>
      <protection locked="0"/>
    </xf>
    <xf numFmtId="0" fontId="29" fillId="0" borderId="17" xfId="2" applyFont="1" applyBorder="1" applyAlignment="1">
      <alignment wrapText="1"/>
    </xf>
    <xf numFmtId="49" fontId="46" fillId="0" borderId="25" xfId="0" applyNumberFormat="1" applyFont="1" applyBorder="1" applyAlignment="1">
      <alignment vertical="top" wrapText="1"/>
    </xf>
    <xf numFmtId="1" fontId="3" fillId="0" borderId="17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vertical="top" wrapText="1"/>
    </xf>
    <xf numFmtId="0" fontId="3" fillId="0" borderId="21" xfId="0" quotePrefix="1" applyFont="1" applyBorder="1" applyAlignment="1" applyProtection="1">
      <alignment horizontal="center" vertical="center"/>
      <protection hidden="1"/>
    </xf>
    <xf numFmtId="0" fontId="29" fillId="0" borderId="21" xfId="0" applyFont="1" applyBorder="1" applyAlignment="1" applyProtection="1">
      <alignment horizontal="center" vertical="center" wrapText="1"/>
      <protection hidden="1"/>
    </xf>
    <xf numFmtId="4" fontId="29" fillId="0" borderId="19" xfId="0" applyNumberFormat="1" applyFont="1" applyBorder="1" applyAlignment="1" applyProtection="1">
      <alignment horizontal="right" vertical="center" wrapText="1"/>
      <protection hidden="1"/>
    </xf>
    <xf numFmtId="2" fontId="27" fillId="0" borderId="0" xfId="0" applyNumberFormat="1" applyFont="1" applyAlignment="1">
      <alignment horizontal="left" vertical="top" wrapText="1"/>
    </xf>
    <xf numFmtId="0" fontId="27" fillId="0" borderId="21" xfId="0" applyFont="1" applyBorder="1" applyAlignment="1">
      <alignment horizontal="center" vertical="center" wrapText="1"/>
    </xf>
    <xf numFmtId="4" fontId="3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2" fontId="3" fillId="0" borderId="15" xfId="0" applyNumberFormat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/>
    </xf>
    <xf numFmtId="4" fontId="4" fillId="0" borderId="19" xfId="0" applyNumberFormat="1" applyFont="1" applyBorder="1" applyAlignment="1" applyProtection="1">
      <alignment horizontal="right" vertical="top"/>
      <protection hidden="1"/>
    </xf>
    <xf numFmtId="4" fontId="3" fillId="0" borderId="19" xfId="0" applyNumberFormat="1" applyFont="1" applyBorder="1" applyAlignment="1" applyProtection="1">
      <alignment horizontal="right" vertical="top"/>
      <protection hidden="1"/>
    </xf>
    <xf numFmtId="4" fontId="3" fillId="0" borderId="19" xfId="0" applyNumberFormat="1" applyFont="1" applyBorder="1" applyAlignment="1" applyProtection="1">
      <alignment horizontal="right" vertical="top" wrapText="1"/>
      <protection hidden="1"/>
    </xf>
    <xf numFmtId="4" fontId="4" fillId="0" borderId="19" xfId="0" applyNumberFormat="1" applyFont="1" applyBorder="1" applyAlignment="1" applyProtection="1">
      <alignment horizontal="right" vertical="top" wrapText="1"/>
      <protection hidden="1"/>
    </xf>
    <xf numFmtId="2" fontId="15" fillId="0" borderId="25" xfId="2" applyNumberFormat="1" applyFont="1" applyBorder="1" applyAlignment="1" applyProtection="1">
      <alignment horizontal="right" vertical="top" wrapText="1"/>
      <protection locked="0"/>
    </xf>
    <xf numFmtId="4" fontId="3" fillId="0" borderId="25" xfId="2" applyNumberFormat="1" applyBorder="1"/>
    <xf numFmtId="0" fontId="3" fillId="0" borderId="18" xfId="2" applyBorder="1"/>
    <xf numFmtId="2" fontId="3" fillId="0" borderId="24" xfId="0" applyNumberFormat="1" applyFont="1" applyBorder="1" applyAlignment="1">
      <alignment horizontal="right" wrapText="1"/>
    </xf>
    <xf numFmtId="0" fontId="95" fillId="0" borderId="13" xfId="0" applyFont="1" applyBorder="1" applyAlignment="1">
      <alignment vertical="top"/>
    </xf>
    <xf numFmtId="49" fontId="95" fillId="0" borderId="14" xfId="0" applyNumberFormat="1" applyFont="1" applyBorder="1" applyAlignment="1">
      <alignment vertical="top"/>
    </xf>
    <xf numFmtId="0" fontId="95" fillId="0" borderId="14" xfId="0" applyFont="1" applyBorder="1" applyAlignment="1">
      <alignment vertical="top"/>
    </xf>
    <xf numFmtId="0" fontId="95" fillId="0" borderId="15" xfId="0" applyFont="1" applyBorder="1" applyAlignment="1">
      <alignment vertical="top"/>
    </xf>
    <xf numFmtId="2" fontId="96" fillId="0" borderId="5" xfId="0" applyNumberFormat="1" applyFont="1" applyBorder="1" applyAlignment="1">
      <alignment vertical="top"/>
    </xf>
    <xf numFmtId="2" fontId="95" fillId="0" borderId="27" xfId="0" applyNumberFormat="1" applyFont="1" applyBorder="1" applyAlignment="1">
      <alignment vertical="center"/>
    </xf>
    <xf numFmtId="0" fontId="95" fillId="0" borderId="17" xfId="0" applyFont="1" applyBorder="1" applyAlignment="1">
      <alignment vertical="top"/>
    </xf>
    <xf numFmtId="2" fontId="95" fillId="0" borderId="20" xfId="0" applyNumberFormat="1" applyFont="1" applyBorder="1" applyAlignment="1">
      <alignment vertical="center"/>
    </xf>
    <xf numFmtId="49" fontId="95" fillId="0" borderId="25" xfId="0" applyNumberFormat="1" applyFont="1" applyBorder="1" applyAlignment="1">
      <alignment vertical="top"/>
    </xf>
    <xf numFmtId="2" fontId="4" fillId="0" borderId="20" xfId="0" applyNumberFormat="1" applyFont="1" applyBorder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/>
    </xf>
    <xf numFmtId="2" fontId="29" fillId="0" borderId="20" xfId="0" applyNumberFormat="1" applyFont="1" applyBorder="1" applyAlignment="1" applyProtection="1">
      <alignment horizontal="right" vertical="center"/>
      <protection locked="0"/>
    </xf>
    <xf numFmtId="49" fontId="21" fillId="0" borderId="0" xfId="0" applyNumberFormat="1" applyFont="1"/>
    <xf numFmtId="2" fontId="50" fillId="0" borderId="0" xfId="0" applyNumberFormat="1" applyFont="1"/>
    <xf numFmtId="2" fontId="21" fillId="0" borderId="0" xfId="0" applyNumberFormat="1" applyFont="1" applyAlignment="1">
      <alignment vertical="center"/>
    </xf>
    <xf numFmtId="0" fontId="29" fillId="0" borderId="17" xfId="2" applyFont="1" applyBorder="1" applyAlignment="1">
      <alignment horizontal="center" vertical="top" wrapText="1"/>
    </xf>
    <xf numFmtId="0" fontId="29" fillId="0" borderId="18" xfId="2" applyFont="1" applyBorder="1" applyAlignment="1">
      <alignment horizontal="center" wrapText="1"/>
    </xf>
    <xf numFmtId="3" fontId="29" fillId="0" borderId="19" xfId="2" applyNumberFormat="1" applyFont="1" applyBorder="1" applyAlignment="1">
      <alignment horizontal="center" vertical="center" wrapText="1"/>
    </xf>
    <xf numFmtId="49" fontId="15" fillId="0" borderId="21" xfId="2" applyNumberFormat="1" applyFont="1" applyBorder="1" applyAlignment="1" applyProtection="1">
      <alignment vertical="top" wrapText="1"/>
      <protection locked="0"/>
    </xf>
    <xf numFmtId="0" fontId="5" fillId="0" borderId="17" xfId="0" applyFont="1" applyBorder="1" applyAlignment="1">
      <alignment horizontal="center" vertical="top" wrapText="1"/>
    </xf>
    <xf numFmtId="2" fontId="29" fillId="0" borderId="0" xfId="0" applyNumberFormat="1" applyFont="1" applyAlignment="1" applyProtection="1">
      <alignment horizontal="right" vertical="top" wrapText="1"/>
      <protection locked="0"/>
    </xf>
    <xf numFmtId="4" fontId="31" fillId="0" borderId="19" xfId="0" applyNumberFormat="1" applyFont="1" applyBorder="1" applyAlignment="1" applyProtection="1">
      <alignment vertical="center" wrapText="1"/>
      <protection locked="0"/>
    </xf>
    <xf numFmtId="3" fontId="31" fillId="0" borderId="20" xfId="0" applyNumberFormat="1" applyFont="1" applyBorder="1" applyAlignment="1" applyProtection="1">
      <alignment vertical="center" wrapText="1"/>
      <protection locked="0"/>
    </xf>
    <xf numFmtId="4" fontId="23" fillId="0" borderId="0" xfId="0" applyNumberFormat="1" applyFont="1" applyAlignment="1">
      <alignment horizontal="right" vertical="center" wrapText="1"/>
    </xf>
    <xf numFmtId="49" fontId="4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34" fillId="0" borderId="0" xfId="0" applyFont="1" applyAlignment="1">
      <alignment wrapText="1"/>
    </xf>
    <xf numFmtId="2" fontId="29" fillId="0" borderId="0" xfId="0" applyNumberFormat="1" applyFont="1" applyAlignment="1" applyProtection="1">
      <alignment horizontal="right" vertical="center" wrapText="1"/>
      <protection locked="0"/>
    </xf>
    <xf numFmtId="164" fontId="36" fillId="0" borderId="18" xfId="0" applyNumberFormat="1" applyFont="1" applyBorder="1" applyAlignment="1">
      <alignment horizontal="left" vertical="top"/>
    </xf>
    <xf numFmtId="2" fontId="29" fillId="0" borderId="25" xfId="0" applyNumberFormat="1" applyFont="1" applyBorder="1" applyAlignment="1" applyProtection="1">
      <alignment horizontal="right" vertical="center" wrapText="1"/>
      <protection locked="0"/>
    </xf>
    <xf numFmtId="49" fontId="5" fillId="3" borderId="39" xfId="22" applyNumberFormat="1" applyFont="1" applyFill="1" applyBorder="1" applyAlignment="1">
      <alignment horizontal="center" vertical="center"/>
    </xf>
    <xf numFmtId="0" fontId="71" fillId="3" borderId="0" xfId="23" applyFill="1"/>
    <xf numFmtId="0" fontId="105" fillId="0" borderId="0" xfId="0" applyFont="1" applyAlignment="1">
      <alignment vertical="top" wrapText="1"/>
    </xf>
    <xf numFmtId="4" fontId="29" fillId="0" borderId="19" xfId="0" applyNumberFormat="1" applyFont="1" applyBorder="1" applyAlignment="1" applyProtection="1">
      <alignment horizontal="right" vertical="top"/>
      <protection locked="0"/>
    </xf>
    <xf numFmtId="4" fontId="17" fillId="0" borderId="25" xfId="0" applyNumberFormat="1" applyFont="1" applyBorder="1" applyAlignment="1" applyProtection="1">
      <alignment horizontal="right" vertical="top" wrapText="1"/>
      <protection locked="0"/>
    </xf>
    <xf numFmtId="4" fontId="23" fillId="0" borderId="0" xfId="0" applyNumberFormat="1" applyFont="1" applyAlignment="1" applyProtection="1">
      <alignment horizontal="right" vertical="top" wrapText="1"/>
      <protection locked="0"/>
    </xf>
    <xf numFmtId="4" fontId="17" fillId="0" borderId="0" xfId="0" applyNumberFormat="1" applyFont="1" applyAlignment="1" applyProtection="1">
      <alignment horizontal="right" vertical="top" wrapText="1"/>
      <protection locked="0"/>
    </xf>
    <xf numFmtId="2" fontId="29" fillId="0" borderId="19" xfId="0" applyNumberFormat="1" applyFont="1" applyBorder="1" applyAlignment="1" applyProtection="1">
      <alignment horizontal="right" vertical="top"/>
      <protection locked="0"/>
    </xf>
    <xf numFmtId="2" fontId="5" fillId="0" borderId="19" xfId="0" applyNumberFormat="1" applyFont="1" applyBorder="1" applyAlignment="1">
      <alignment vertical="top"/>
    </xf>
    <xf numFmtId="49" fontId="106" fillId="0" borderId="18" xfId="0" applyNumberFormat="1" applyFont="1" applyBorder="1" applyAlignment="1">
      <alignment vertical="top"/>
    </xf>
    <xf numFmtId="0" fontId="106" fillId="0" borderId="21" xfId="0" applyFont="1" applyBorder="1" applyAlignment="1">
      <alignment vertical="top" wrapText="1"/>
    </xf>
    <xf numFmtId="4" fontId="107" fillId="0" borderId="0" xfId="0" applyNumberFormat="1" applyFont="1" applyAlignment="1">
      <alignment wrapText="1"/>
    </xf>
    <xf numFmtId="0" fontId="25" fillId="0" borderId="21" xfId="0" applyFont="1" applyBorder="1" applyAlignment="1">
      <alignment vertical="top" wrapText="1"/>
    </xf>
    <xf numFmtId="0" fontId="11" fillId="0" borderId="0" xfId="0" applyFont="1" applyAlignment="1">
      <alignment horizontal="left" vertical="top" wrapText="1"/>
    </xf>
    <xf numFmtId="4" fontId="3" fillId="0" borderId="0" xfId="2" applyNumberFormat="1"/>
    <xf numFmtId="2" fontId="5" fillId="0" borderId="19" xfId="2" applyNumberFormat="1" applyFont="1" applyBorder="1" applyAlignment="1">
      <alignment horizontal="right" vertical="top" wrapText="1"/>
    </xf>
    <xf numFmtId="2" fontId="5" fillId="0" borderId="19" xfId="2" applyNumberFormat="1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49" fontId="48" fillId="0" borderId="0" xfId="0" applyNumberFormat="1" applyFont="1" applyAlignment="1" applyProtection="1">
      <alignment horizontal="center" vertical="top" wrapText="1"/>
      <protection locked="0"/>
    </xf>
    <xf numFmtId="2" fontId="29" fillId="0" borderId="18" xfId="0" applyNumberFormat="1" applyFont="1" applyBorder="1" applyAlignment="1">
      <alignment vertical="top"/>
    </xf>
    <xf numFmtId="2" fontId="23" fillId="0" borderId="0" xfId="0" applyNumberFormat="1" applyFont="1" applyAlignment="1" applyProtection="1">
      <alignment horizontal="right" vertical="top" wrapText="1"/>
      <protection locked="0"/>
    </xf>
    <xf numFmtId="0" fontId="108" fillId="0" borderId="18" xfId="0" applyFont="1" applyBorder="1" applyAlignment="1">
      <alignment vertical="top" wrapText="1"/>
    </xf>
    <xf numFmtId="49" fontId="34" fillId="0" borderId="18" xfId="0" applyNumberFormat="1" applyFont="1" applyBorder="1" applyAlignment="1">
      <alignment horizontal="left" vertical="top"/>
    </xf>
    <xf numFmtId="2" fontId="108" fillId="0" borderId="0" xfId="0" applyNumberFormat="1" applyFont="1" applyAlignment="1">
      <alignment horizontal="right" wrapText="1"/>
    </xf>
    <xf numFmtId="0" fontId="3" fillId="0" borderId="25" xfId="0" applyFont="1" applyBorder="1" applyAlignment="1">
      <alignment vertical="top"/>
    </xf>
    <xf numFmtId="4" fontId="3" fillId="0" borderId="20" xfId="0" applyNumberFormat="1" applyFont="1" applyBorder="1" applyAlignment="1">
      <alignment vertical="top"/>
    </xf>
    <xf numFmtId="49" fontId="25" fillId="0" borderId="25" xfId="0" applyNumberFormat="1" applyFont="1" applyBorder="1" applyAlignment="1">
      <alignment vertical="top"/>
    </xf>
    <xf numFmtId="0" fontId="3" fillId="0" borderId="22" xfId="0" applyFont="1" applyBorder="1"/>
    <xf numFmtId="0" fontId="26" fillId="0" borderId="21" xfId="2" applyFont="1" applyBorder="1" applyAlignment="1">
      <alignment horizontal="center" vertical="center" wrapText="1"/>
    </xf>
    <xf numFmtId="0" fontId="4" fillId="0" borderId="18" xfId="4" applyFont="1" applyBorder="1" applyAlignment="1">
      <alignment vertical="top" wrapText="1"/>
    </xf>
    <xf numFmtId="164" fontId="4" fillId="0" borderId="18" xfId="4" applyNumberFormat="1" applyFont="1" applyBorder="1" applyAlignment="1">
      <alignment horizontal="left" vertical="top" wrapText="1"/>
    </xf>
    <xf numFmtId="165" fontId="4" fillId="0" borderId="18" xfId="4" applyNumberFormat="1" applyFont="1" applyBorder="1" applyAlignment="1">
      <alignment horizontal="left" vertical="top" wrapText="1"/>
    </xf>
    <xf numFmtId="0" fontId="4" fillId="0" borderId="0" xfId="4" applyFont="1" applyAlignment="1">
      <alignment horizontal="left" vertical="top" wrapText="1"/>
    </xf>
    <xf numFmtId="0" fontId="8" fillId="0" borderId="25" xfId="2" applyFont="1" applyBorder="1" applyAlignment="1">
      <alignment wrapText="1"/>
    </xf>
    <xf numFmtId="0" fontId="8" fillId="0" borderId="18" xfId="2" applyFont="1" applyBorder="1" applyAlignment="1">
      <alignment horizontal="center" vertical="top"/>
    </xf>
    <xf numFmtId="0" fontId="5" fillId="0" borderId="17" xfId="25" applyFont="1" applyBorder="1" applyAlignment="1">
      <alignment horizontal="center" vertical="top"/>
    </xf>
    <xf numFmtId="0" fontId="7" fillId="0" borderId="0" xfId="3" applyFont="1" applyAlignment="1">
      <alignment horizontal="left" vertical="top" wrapText="1"/>
    </xf>
    <xf numFmtId="0" fontId="20" fillId="0" borderId="0" xfId="4" applyFont="1" applyAlignment="1">
      <alignment vertical="top" wrapText="1"/>
    </xf>
    <xf numFmtId="2" fontId="20" fillId="0" borderId="0" xfId="4" applyNumberFormat="1" applyFont="1" applyAlignment="1">
      <alignment wrapText="1"/>
    </xf>
    <xf numFmtId="0" fontId="109" fillId="0" borderId="22" xfId="2" applyFont="1" applyBorder="1"/>
    <xf numFmtId="4" fontId="20" fillId="0" borderId="25" xfId="4" applyNumberFormat="1" applyFont="1" applyBorder="1" applyAlignment="1">
      <alignment wrapText="1"/>
    </xf>
    <xf numFmtId="0" fontId="109" fillId="0" borderId="0" xfId="2" applyFont="1"/>
    <xf numFmtId="0" fontId="4" fillId="0" borderId="17" xfId="4" applyFont="1" applyBorder="1" applyAlignment="1">
      <alignment horizontal="center" vertical="center"/>
    </xf>
    <xf numFmtId="49" fontId="4" fillId="0" borderId="18" xfId="4" quotePrefix="1" applyNumberFormat="1" applyFont="1" applyBorder="1" applyAlignment="1">
      <alignment horizontal="left" vertical="top"/>
    </xf>
    <xf numFmtId="49" fontId="4" fillId="0" borderId="18" xfId="4" applyNumberFormat="1" applyFont="1" applyBorder="1" applyAlignment="1">
      <alignment horizontal="left" vertical="top"/>
    </xf>
    <xf numFmtId="0" fontId="4" fillId="0" borderId="18" xfId="4" applyFont="1" applyBorder="1" applyAlignment="1">
      <alignment horizontal="center" vertical="top"/>
    </xf>
    <xf numFmtId="4" fontId="4" fillId="0" borderId="19" xfId="4" applyNumberFormat="1" applyFont="1" applyBorder="1" applyAlignment="1">
      <alignment vertical="top"/>
    </xf>
    <xf numFmtId="4" fontId="28" fillId="0" borderId="0" xfId="3" applyNumberFormat="1" applyFont="1" applyAlignment="1">
      <alignment vertical="center" wrapText="1"/>
    </xf>
    <xf numFmtId="0" fontId="3" fillId="0" borderId="18" xfId="4" applyFont="1" applyBorder="1" applyAlignment="1">
      <alignment horizontal="left" vertical="top" wrapText="1"/>
    </xf>
    <xf numFmtId="49" fontId="3" fillId="0" borderId="18" xfId="4" applyNumberFormat="1" applyFont="1" applyBorder="1" applyAlignment="1">
      <alignment horizontal="left" vertical="top"/>
    </xf>
    <xf numFmtId="49" fontId="3" fillId="0" borderId="18" xfId="4" quotePrefix="1" applyNumberFormat="1" applyFont="1" applyBorder="1" applyAlignment="1">
      <alignment horizontal="left" vertical="top"/>
    </xf>
    <xf numFmtId="0" fontId="3" fillId="0" borderId="0" xfId="4" applyFont="1" applyAlignment="1">
      <alignment vertical="top" wrapText="1"/>
    </xf>
    <xf numFmtId="0" fontId="3" fillId="0" borderId="18" xfId="4" applyFont="1" applyBorder="1" applyAlignment="1">
      <alignment horizontal="center" vertical="top"/>
    </xf>
    <xf numFmtId="4" fontId="3" fillId="0" borderId="19" xfId="4" applyNumberFormat="1" applyFont="1" applyBorder="1" applyAlignment="1">
      <alignment vertical="top"/>
    </xf>
    <xf numFmtId="0" fontId="18" fillId="0" borderId="0" xfId="4" applyFont="1" applyAlignment="1">
      <alignment horizontal="right" vertical="top" wrapText="1"/>
    </xf>
    <xf numFmtId="4" fontId="18" fillId="0" borderId="0" xfId="4" applyNumberFormat="1" applyFont="1" applyAlignment="1">
      <alignment vertical="top" wrapText="1"/>
    </xf>
    <xf numFmtId="171" fontId="110" fillId="0" borderId="0" xfId="2" applyNumberFormat="1" applyFont="1" applyAlignment="1">
      <alignment wrapText="1"/>
    </xf>
    <xf numFmtId="0" fontId="20" fillId="0" borderId="0" xfId="4" applyFont="1" applyAlignment="1">
      <alignment horizontal="left" vertical="top" wrapText="1"/>
    </xf>
    <xf numFmtId="0" fontId="18" fillId="0" borderId="0" xfId="3" applyFont="1" applyAlignment="1">
      <alignment horizontal="right" vertical="center" wrapText="1"/>
    </xf>
    <xf numFmtId="4" fontId="110" fillId="0" borderId="0" xfId="4" applyNumberFormat="1" applyFont="1" applyAlignment="1">
      <alignment wrapText="1"/>
    </xf>
    <xf numFmtId="0" fontId="4" fillId="0" borderId="18" xfId="3" applyFont="1" applyBorder="1" applyAlignment="1">
      <alignment horizontal="left" wrapText="1"/>
    </xf>
    <xf numFmtId="4" fontId="4" fillId="0" borderId="20" xfId="3" applyNumberFormat="1" applyFont="1" applyBorder="1" applyAlignment="1">
      <alignment vertical="top"/>
    </xf>
    <xf numFmtId="0" fontId="9" fillId="0" borderId="17" xfId="3" applyBorder="1"/>
    <xf numFmtId="0" fontId="3" fillId="0" borderId="18" xfId="3" applyFont="1" applyBorder="1" applyAlignment="1">
      <alignment horizontal="left" wrapText="1"/>
    </xf>
    <xf numFmtId="4" fontId="3" fillId="0" borderId="20" xfId="3" applyNumberFormat="1" applyFont="1" applyBorder="1" applyAlignment="1">
      <alignment vertical="top"/>
    </xf>
    <xf numFmtId="0" fontId="106" fillId="0" borderId="0" xfId="0" applyFont="1" applyAlignment="1">
      <alignment vertical="top" wrapText="1"/>
    </xf>
    <xf numFmtId="0" fontId="72" fillId="0" borderId="34" xfId="24" applyBorder="1" applyAlignment="1" applyProtection="1">
      <alignment horizontal="left" vertical="center"/>
      <protection locked="0"/>
    </xf>
    <xf numFmtId="0" fontId="72" fillId="0" borderId="35" xfId="24" applyBorder="1" applyAlignment="1" applyProtection="1">
      <alignment horizontal="left" vertical="center"/>
      <protection locked="0"/>
    </xf>
    <xf numFmtId="0" fontId="72" fillId="0" borderId="35" xfId="24" applyBorder="1" applyAlignment="1" applyProtection="1">
      <alignment horizontal="left" vertical="center" wrapText="1"/>
      <protection locked="0"/>
    </xf>
    <xf numFmtId="0" fontId="72" fillId="3" borderId="35" xfId="24" applyFill="1" applyBorder="1" applyAlignment="1" applyProtection="1">
      <alignment horizontal="left" vertical="center" wrapText="1"/>
      <protection locked="0"/>
    </xf>
    <xf numFmtId="0" fontId="72" fillId="3" borderId="35" xfId="24" applyFill="1" applyBorder="1" applyAlignment="1" applyProtection="1">
      <alignment horizontal="left" vertical="center"/>
      <protection locked="0"/>
    </xf>
    <xf numFmtId="0" fontId="72" fillId="0" borderId="36" xfId="24" applyBorder="1" applyAlignment="1" applyProtection="1">
      <alignment horizontal="left" vertical="center"/>
      <protection locked="0"/>
    </xf>
    <xf numFmtId="2" fontId="61" fillId="0" borderId="25" xfId="0" applyNumberFormat="1" applyFont="1" applyBorder="1" applyAlignment="1" applyProtection="1">
      <alignment horizontal="right" vertical="top" wrapText="1"/>
      <protection locked="0"/>
    </xf>
    <xf numFmtId="2" fontId="28" fillId="0" borderId="0" xfId="2" applyNumberFormat="1" applyFont="1" applyAlignment="1" applyProtection="1">
      <alignment horizontal="right" vertical="center" wrapText="1"/>
      <protection locked="0"/>
    </xf>
    <xf numFmtId="4" fontId="111" fillId="0" borderId="20" xfId="0" applyNumberFormat="1" applyFont="1" applyBorder="1" applyAlignment="1">
      <alignment vertical="top"/>
    </xf>
    <xf numFmtId="49" fontId="40" fillId="0" borderId="18" xfId="0" quotePrefix="1" applyNumberFormat="1" applyFont="1" applyBorder="1" applyAlignment="1">
      <alignment horizontal="left" vertical="top"/>
    </xf>
    <xf numFmtId="49" fontId="40" fillId="0" borderId="18" xfId="0" applyNumberFormat="1" applyFont="1" applyBorder="1" applyAlignment="1">
      <alignment horizontal="left" vertical="top"/>
    </xf>
    <xf numFmtId="0" fontId="40" fillId="0" borderId="0" xfId="0" applyFont="1" applyAlignment="1">
      <alignment vertical="top" wrapText="1"/>
    </xf>
    <xf numFmtId="0" fontId="40" fillId="0" borderId="18" xfId="0" applyFont="1" applyBorder="1" applyAlignment="1">
      <alignment horizontal="center" vertical="top"/>
    </xf>
    <xf numFmtId="49" fontId="36" fillId="0" borderId="18" xfId="0" applyNumberFormat="1" applyFont="1" applyBorder="1" applyAlignment="1">
      <alignment horizontal="left" vertical="top"/>
    </xf>
    <xf numFmtId="49" fontId="36" fillId="0" borderId="18" xfId="0" quotePrefix="1" applyNumberFormat="1" applyFont="1" applyBorder="1" applyAlignment="1">
      <alignment horizontal="left" vertical="top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wrapText="1"/>
    </xf>
    <xf numFmtId="0" fontId="36" fillId="0" borderId="18" xfId="0" applyFont="1" applyBorder="1" applyAlignment="1">
      <alignment horizontal="center" vertical="top"/>
    </xf>
    <xf numFmtId="0" fontId="111" fillId="0" borderId="17" xfId="0" applyFont="1" applyBorder="1" applyAlignment="1">
      <alignment horizontal="center" vertical="top"/>
    </xf>
    <xf numFmtId="0" fontId="28" fillId="0" borderId="0" xfId="0" applyFont="1" applyAlignment="1">
      <alignment wrapText="1"/>
    </xf>
    <xf numFmtId="4" fontId="28" fillId="0" borderId="0" xfId="0" applyNumberFormat="1" applyFont="1" applyAlignment="1">
      <alignment wrapText="1"/>
    </xf>
    <xf numFmtId="4" fontId="40" fillId="0" borderId="19" xfId="0" applyNumberFormat="1" applyFont="1" applyBorder="1" applyAlignment="1">
      <alignment vertical="top"/>
    </xf>
    <xf numFmtId="4" fontId="36" fillId="0" borderId="19" xfId="0" applyNumberFormat="1" applyFont="1" applyBorder="1" applyAlignment="1">
      <alignment vertical="top"/>
    </xf>
    <xf numFmtId="4" fontId="112" fillId="0" borderId="0" xfId="0" applyNumberFormat="1" applyFont="1" applyAlignment="1">
      <alignment wrapText="1"/>
    </xf>
    <xf numFmtId="4" fontId="28" fillId="0" borderId="0" xfId="0" applyNumberFormat="1" applyFont="1" applyAlignment="1">
      <alignment horizontal="right" wrapText="1"/>
    </xf>
    <xf numFmtId="4" fontId="40" fillId="0" borderId="19" xfId="0" applyNumberFormat="1" applyFont="1" applyBorder="1" applyAlignment="1">
      <alignment horizontal="right" vertical="top" wrapText="1"/>
    </xf>
    <xf numFmtId="4" fontId="36" fillId="0" borderId="19" xfId="0" applyNumberFormat="1" applyFont="1" applyBorder="1" applyAlignment="1">
      <alignment horizontal="right" vertical="top" wrapText="1"/>
    </xf>
    <xf numFmtId="4" fontId="26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/>
    </xf>
    <xf numFmtId="0" fontId="73" fillId="0" borderId="0" xfId="0" applyFont="1" applyAlignment="1">
      <alignment horizontal="left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2" xfId="2" applyBorder="1" applyAlignment="1">
      <alignment horizontal="center" vertical="top"/>
    </xf>
    <xf numFmtId="0" fontId="3" fillId="0" borderId="3" xfId="2" applyBorder="1" applyAlignment="1">
      <alignment horizontal="center" vertical="top"/>
    </xf>
    <xf numFmtId="0" fontId="3" fillId="0" borderId="4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9" xfId="2" applyBorder="1" applyAlignment="1">
      <alignment horizontal="center" vertical="center" wrapText="1"/>
    </xf>
    <xf numFmtId="0" fontId="3" fillId="0" borderId="10" xfId="2" applyBorder="1" applyAlignment="1">
      <alignment horizontal="center" vertical="center" wrapText="1"/>
    </xf>
    <xf numFmtId="0" fontId="3" fillId="0" borderId="3" xfId="2" quotePrefix="1" applyBorder="1" applyAlignment="1">
      <alignment horizontal="center" vertical="center"/>
    </xf>
    <xf numFmtId="0" fontId="3" fillId="0" borderId="11" xfId="2" quotePrefix="1" applyBorder="1" applyAlignment="1">
      <alignment horizontal="center" vertical="center"/>
    </xf>
    <xf numFmtId="3" fontId="3" fillId="0" borderId="6" xfId="2" applyNumberFormat="1" applyBorder="1" applyAlignment="1">
      <alignment horizontal="center" vertical="center"/>
    </xf>
    <xf numFmtId="3" fontId="3" fillId="0" borderId="12" xfId="2" applyNumberFormat="1" applyBorder="1" applyAlignment="1">
      <alignment horizontal="center" vertical="center"/>
    </xf>
    <xf numFmtId="0" fontId="29" fillId="0" borderId="2" xfId="2" applyFont="1" applyBorder="1" applyAlignment="1">
      <alignment horizontal="center" vertical="top" wrapText="1"/>
    </xf>
    <xf numFmtId="0" fontId="29" fillId="0" borderId="3" xfId="2" applyFont="1" applyBorder="1" applyAlignment="1">
      <alignment horizontal="center" vertical="top" wrapText="1"/>
    </xf>
    <xf numFmtId="0" fontId="29" fillId="0" borderId="4" xfId="2" applyFont="1" applyBorder="1" applyAlignment="1">
      <alignment horizontal="center" vertical="center" wrapText="1"/>
    </xf>
    <xf numFmtId="0" fontId="29" fillId="0" borderId="5" xfId="2" applyFont="1" applyBorder="1" applyAlignment="1">
      <alignment horizontal="center" vertical="center" wrapText="1"/>
    </xf>
    <xf numFmtId="0" fontId="29" fillId="0" borderId="9" xfId="2" applyFont="1" applyBorder="1" applyAlignment="1">
      <alignment horizontal="center" vertical="center" wrapText="1"/>
    </xf>
    <xf numFmtId="0" fontId="29" fillId="0" borderId="10" xfId="2" applyFont="1" applyBorder="1" applyAlignment="1">
      <alignment horizontal="center" vertical="center" wrapText="1"/>
    </xf>
    <xf numFmtId="0" fontId="29" fillId="0" borderId="3" xfId="2" quotePrefix="1" applyFont="1" applyBorder="1" applyAlignment="1">
      <alignment horizontal="center" vertical="center" wrapText="1"/>
    </xf>
    <xf numFmtId="0" fontId="29" fillId="0" borderId="11" xfId="2" quotePrefix="1" applyFont="1" applyBorder="1" applyAlignment="1">
      <alignment horizontal="center" vertical="center" wrapText="1"/>
    </xf>
    <xf numFmtId="3" fontId="29" fillId="0" borderId="6" xfId="2" applyNumberFormat="1" applyFont="1" applyBorder="1" applyAlignment="1">
      <alignment horizontal="center" vertical="center" wrapText="1"/>
    </xf>
    <xf numFmtId="3" fontId="29" fillId="0" borderId="12" xfId="2" applyNumberFormat="1" applyFont="1" applyBorder="1" applyAlignment="1">
      <alignment horizontal="center" vertical="center" wrapText="1"/>
    </xf>
    <xf numFmtId="0" fontId="29" fillId="0" borderId="2" xfId="2" applyFont="1" applyBorder="1" applyAlignment="1">
      <alignment horizontal="center" vertical="top"/>
    </xf>
    <xf numFmtId="0" fontId="29" fillId="0" borderId="3" xfId="2" applyFont="1" applyBorder="1" applyAlignment="1">
      <alignment horizontal="center" vertical="top"/>
    </xf>
    <xf numFmtId="0" fontId="29" fillId="0" borderId="3" xfId="2" quotePrefix="1" applyFont="1" applyBorder="1" applyAlignment="1">
      <alignment horizontal="center" vertical="center"/>
    </xf>
    <xf numFmtId="0" fontId="29" fillId="0" borderId="11" xfId="2" quotePrefix="1" applyFont="1" applyBorder="1" applyAlignment="1">
      <alignment horizontal="center" vertical="center"/>
    </xf>
    <xf numFmtId="3" fontId="29" fillId="0" borderId="6" xfId="2" applyNumberFormat="1" applyFont="1" applyBorder="1" applyAlignment="1">
      <alignment horizontal="center" vertical="center"/>
    </xf>
    <xf numFmtId="3" fontId="29" fillId="0" borderId="12" xfId="2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top"/>
    </xf>
    <xf numFmtId="2" fontId="3" fillId="0" borderId="6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</cellXfs>
  <cellStyles count="26">
    <cellStyle name="Čiarka" xfId="1" builtinId="3"/>
    <cellStyle name="Font_Ariel_Normal" xfId="23" xr:uid="{E63ED21F-2B02-4A62-BD37-103B20B0AE9A}"/>
    <cellStyle name="Hypertextové prepojenie" xfId="24" builtinId="8"/>
    <cellStyle name="Normal_F-1214" xfId="19" xr:uid="{B3F4B29B-9DA3-435B-87C9-613C3FF27A72}"/>
    <cellStyle name="Normálna" xfId="0" builtinId="0"/>
    <cellStyle name="Normálna 11 2" xfId="8" xr:uid="{D4CADADF-271D-489C-AD0C-4B18AE3DA0FC}"/>
    <cellStyle name="Normálna 2" xfId="2" xr:uid="{1D21A56F-1860-4E73-AFDC-FEC91ECF2E5C}"/>
    <cellStyle name="Normálna 2 2 2" xfId="9" xr:uid="{7DCDFEA2-249F-4B85-A8AE-706A9D52D097}"/>
    <cellStyle name="Normálna 2 3" xfId="22" xr:uid="{9D50A4BB-9795-46A1-AB09-3249E6E74F5B}"/>
    <cellStyle name="Normálna 21 2" xfId="15" xr:uid="{A3014D39-FD25-4F19-8392-A6CB6F829606}"/>
    <cellStyle name="Normálna 27 2" xfId="10" xr:uid="{31A67CB3-0498-455C-86C2-2FA85F5FF998}"/>
    <cellStyle name="Normálna 28 2" xfId="20" xr:uid="{8F943B77-E053-4D8C-8807-A5187FC500A5}"/>
    <cellStyle name="Normálna 3" xfId="11" xr:uid="{829845FC-7542-410D-BF8C-829A71A0E51B}"/>
    <cellStyle name="Normálna 3 2" xfId="14" xr:uid="{CE84ACD8-3462-4DE7-85E0-8EEAECBDAB6F}"/>
    <cellStyle name="Normálna 4" xfId="13" xr:uid="{A57EE55F-E387-4BD8-8C48-BFA3A0189CAE}"/>
    <cellStyle name="Normálna 6" xfId="6" xr:uid="{F15AA2ED-D5AF-45D2-914F-010194AF839E}"/>
    <cellStyle name="Normálna 7" xfId="7" xr:uid="{616ED1DB-1DA9-4CAA-9741-A59FB7AE6000}"/>
    <cellStyle name="Normálna 9" xfId="5" xr:uid="{CA1857F6-3A7B-47D7-9666-918551FC9504}"/>
    <cellStyle name="Normálne 2" xfId="16" xr:uid="{01548365-B3D9-4740-850F-A036E4986218}"/>
    <cellStyle name="normálne 3" xfId="18" xr:uid="{3088EF81-D936-450B-834F-19A7C75C06CE}"/>
    <cellStyle name="normálne_KNM_652_pripomienky" xfId="17" xr:uid="{D96334A7-41FA-401F-AB56-6C4E86F55DCD}"/>
    <cellStyle name="normálne_popisovnik_ HUBOVA_13.09.07" xfId="25" xr:uid="{2FAB576F-2102-44BB-8CE4-08061C8B9E08}"/>
    <cellStyle name="normální 2" xfId="4" xr:uid="{D57751E7-C96E-4F8D-BE7F-B8CCE3A62E68}"/>
    <cellStyle name="normální 2 2" xfId="12" xr:uid="{5BE6CC40-297D-4DFB-BBC1-125F658BD2FA}"/>
    <cellStyle name="normální_7361-00 Rozpis dokumentacie_Zbojska" xfId="21" xr:uid="{8CB49C72-7420-4129-A1EB-B90CF4EA0B14}"/>
    <cellStyle name="Štýl 1" xfId="3" xr:uid="{5FBEF481-10F1-4F90-8F2E-8D602A202E39}"/>
  </cellStyles>
  <dxfs count="0"/>
  <tableStyles count="0" defaultTableStyle="TableStyleMedium2" defaultPivotStyle="PivotStyleLight16"/>
  <colors>
    <mruColors>
      <color rgb="FFB8D3E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B57A3-5167-459F-ACF7-69BD1627F8F8}">
  <sheetPr codeName="Hárok1"/>
  <dimension ref="B1:I28"/>
  <sheetViews>
    <sheetView showGridLines="0" tabSelected="1" workbookViewId="0">
      <selection activeCell="B28" sqref="B28"/>
    </sheetView>
  </sheetViews>
  <sheetFormatPr defaultRowHeight="15"/>
  <cols>
    <col min="4" max="4" width="9.140625" customWidth="1"/>
  </cols>
  <sheetData>
    <row r="1" spans="9:9">
      <c r="I1" s="266" t="s">
        <v>3177</v>
      </c>
    </row>
    <row r="2" spans="9:9">
      <c r="I2" s="266"/>
    </row>
    <row r="12" spans="9:9">
      <c r="I12" s="266"/>
    </row>
    <row r="28" spans="2:8" ht="15.75">
      <c r="B28" s="1" t="s">
        <v>3174</v>
      </c>
      <c r="C28" s="1329" t="s">
        <v>0</v>
      </c>
      <c r="D28" s="1329"/>
      <c r="E28" s="1329"/>
      <c r="F28" s="1329"/>
      <c r="G28" s="1329"/>
      <c r="H28" s="1329"/>
    </row>
  </sheetData>
  <mergeCells count="1">
    <mergeCell ref="C28:H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&amp;LStavba: Stavba: Trolejbusové trate v Bratislave - projekčné práce - 1. časť:  Nová trolejbusová trať Patrónka – Riviéra - projekčné práce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EBE0D-4A8C-4671-8193-A989E9C53946}">
  <sheetPr codeName="Hárok8"/>
  <dimension ref="A1:Q9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1718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8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>
      <c r="A8" s="34">
        <f>MAX(A$1:A7)+1</f>
        <v>1</v>
      </c>
      <c r="B8" s="31"/>
      <c r="C8" s="36" t="s">
        <v>228</v>
      </c>
      <c r="D8" s="37"/>
      <c r="E8" s="38" t="s">
        <v>229</v>
      </c>
      <c r="F8" s="39"/>
      <c r="G8" s="40" t="s">
        <v>18</v>
      </c>
      <c r="H8" s="128">
        <v>8.4600000000000009</v>
      </c>
    </row>
    <row r="9" spans="1:8">
      <c r="A9" s="145"/>
      <c r="B9" s="31"/>
      <c r="C9" s="36"/>
      <c r="D9" s="37"/>
      <c r="E9" s="38"/>
      <c r="F9" s="46">
        <f>F60</f>
        <v>8.4600000000000009</v>
      </c>
      <c r="G9" s="40"/>
      <c r="H9" s="30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145"/>
      <c r="B11" s="35" t="s">
        <v>87</v>
      </c>
      <c r="C11" s="93"/>
      <c r="D11" s="94"/>
      <c r="E11" s="50" t="s">
        <v>88</v>
      </c>
      <c r="F11" s="81"/>
      <c r="G11" s="62"/>
      <c r="H11" s="30"/>
    </row>
    <row r="12" spans="1:8">
      <c r="A12" s="34"/>
      <c r="B12" s="256"/>
      <c r="C12" s="79"/>
      <c r="D12" s="67"/>
      <c r="E12" s="91"/>
      <c r="F12" s="81"/>
      <c r="G12" s="62"/>
      <c r="H12" s="30"/>
    </row>
    <row r="13" spans="1:8">
      <c r="A13" s="34">
        <f>MAX(A$1:A12)+1</f>
        <v>2</v>
      </c>
      <c r="B13" s="256"/>
      <c r="C13" s="36" t="s">
        <v>493</v>
      </c>
      <c r="D13" s="37"/>
      <c r="E13" s="38" t="s">
        <v>494</v>
      </c>
      <c r="F13" s="39"/>
      <c r="G13" s="40" t="s">
        <v>18</v>
      </c>
      <c r="H13" s="128">
        <v>2.39</v>
      </c>
    </row>
    <row r="14" spans="1:8">
      <c r="A14" s="34"/>
      <c r="B14" s="256"/>
      <c r="C14" s="66"/>
      <c r="D14" s="67" t="s">
        <v>495</v>
      </c>
      <c r="E14" s="71" t="s">
        <v>496</v>
      </c>
      <c r="F14" s="61"/>
      <c r="G14" s="62" t="s">
        <v>18</v>
      </c>
      <c r="H14" s="124">
        <v>2.39</v>
      </c>
    </row>
    <row r="15" spans="1:8" ht="25.5">
      <c r="A15" s="34"/>
      <c r="B15" s="256"/>
      <c r="C15" s="66"/>
      <c r="D15" s="67"/>
      <c r="E15" s="65" t="s">
        <v>1719</v>
      </c>
      <c r="F15" s="68">
        <v>2.39</v>
      </c>
      <c r="G15" s="62"/>
      <c r="H15" s="30"/>
    </row>
    <row r="16" spans="1:8">
      <c r="A16" s="34"/>
      <c r="B16" s="256"/>
      <c r="C16" s="66"/>
      <c r="D16" s="67"/>
      <c r="E16" s="65"/>
      <c r="F16" s="68"/>
      <c r="G16" s="62"/>
      <c r="H16" s="30"/>
    </row>
    <row r="17" spans="1:8">
      <c r="A17" s="34">
        <f>MAX(A$1:A16)+1</f>
        <v>3</v>
      </c>
      <c r="B17" s="256"/>
      <c r="C17" s="36" t="s">
        <v>62</v>
      </c>
      <c r="D17" s="37"/>
      <c r="E17" s="38" t="s">
        <v>63</v>
      </c>
      <c r="F17" s="39"/>
      <c r="G17" s="40" t="s">
        <v>18</v>
      </c>
      <c r="H17" s="128">
        <v>0.56999999999999995</v>
      </c>
    </row>
    <row r="18" spans="1:8" ht="25.5">
      <c r="A18" s="34"/>
      <c r="B18" s="256"/>
      <c r="C18" s="66"/>
      <c r="D18" s="67" t="s">
        <v>64</v>
      </c>
      <c r="E18" s="71" t="s">
        <v>65</v>
      </c>
      <c r="F18" s="61"/>
      <c r="G18" s="62" t="s">
        <v>18</v>
      </c>
      <c r="H18" s="124">
        <v>0.56999999999999995</v>
      </c>
    </row>
    <row r="19" spans="1:8">
      <c r="A19" s="34"/>
      <c r="B19" s="256"/>
      <c r="C19" s="66"/>
      <c r="D19" s="67"/>
      <c r="E19" s="65" t="s">
        <v>614</v>
      </c>
      <c r="F19" s="46">
        <f>5.69*0.1</f>
        <v>0.56900000000000006</v>
      </c>
      <c r="G19" s="62"/>
      <c r="H19" s="30"/>
    </row>
    <row r="20" spans="1:8">
      <c r="A20" s="34"/>
      <c r="B20" s="256"/>
      <c r="C20" s="66"/>
      <c r="D20" s="67"/>
      <c r="E20" s="71"/>
      <c r="F20" s="61"/>
      <c r="G20" s="62"/>
      <c r="H20" s="30"/>
    </row>
    <row r="21" spans="1:8">
      <c r="A21" s="34">
        <f>MAX(A$1:A20)+1</f>
        <v>4</v>
      </c>
      <c r="B21" s="256"/>
      <c r="C21" s="36" t="s">
        <v>50</v>
      </c>
      <c r="D21" s="37"/>
      <c r="E21" s="38" t="s">
        <v>51</v>
      </c>
      <c r="F21" s="39"/>
      <c r="G21" s="40" t="s">
        <v>18</v>
      </c>
      <c r="H21" s="128">
        <v>2.39</v>
      </c>
    </row>
    <row r="22" spans="1:8" ht="25.5">
      <c r="A22" s="268"/>
      <c r="B22" s="31"/>
      <c r="C22" s="66"/>
      <c r="D22" s="67" t="s">
        <v>138</v>
      </c>
      <c r="E22" s="71" t="s">
        <v>139</v>
      </c>
      <c r="F22" s="61"/>
      <c r="G22" s="62" t="s">
        <v>18</v>
      </c>
      <c r="H22" s="124">
        <v>2.39</v>
      </c>
    </row>
    <row r="23" spans="1:8">
      <c r="A23" s="268"/>
      <c r="B23" s="31"/>
      <c r="C23" s="66"/>
      <c r="D23" s="67"/>
      <c r="E23" s="65" t="s">
        <v>1720</v>
      </c>
      <c r="F23" s="68">
        <f>F15</f>
        <v>2.39</v>
      </c>
      <c r="G23" s="62"/>
      <c r="H23" s="30"/>
    </row>
    <row r="24" spans="1:8">
      <c r="A24" s="268"/>
      <c r="B24" s="31"/>
      <c r="C24" s="66"/>
      <c r="D24" s="67"/>
      <c r="E24" s="71"/>
      <c r="F24" s="61"/>
      <c r="G24" s="62"/>
      <c r="H24" s="30"/>
    </row>
    <row r="25" spans="1:8">
      <c r="A25" s="34">
        <f>MAX(A$1:A24)+1</f>
        <v>5</v>
      </c>
      <c r="B25" s="31"/>
      <c r="C25" s="36" t="s">
        <v>83</v>
      </c>
      <c r="D25" s="37"/>
      <c r="E25" s="38" t="s">
        <v>84</v>
      </c>
      <c r="F25" s="39"/>
      <c r="G25" s="40" t="s">
        <v>18</v>
      </c>
      <c r="H25" s="128">
        <v>2.96</v>
      </c>
    </row>
    <row r="26" spans="1:8" ht="25.5">
      <c r="A26" s="268"/>
      <c r="B26" s="31"/>
      <c r="C26" s="66"/>
      <c r="D26" s="67" t="s">
        <v>85</v>
      </c>
      <c r="E26" s="71" t="s">
        <v>86</v>
      </c>
      <c r="F26" s="61"/>
      <c r="G26" s="62" t="s">
        <v>18</v>
      </c>
      <c r="H26" s="124">
        <v>2.96</v>
      </c>
    </row>
    <row r="27" spans="1:8">
      <c r="A27" s="268"/>
      <c r="B27" s="31"/>
      <c r="C27" s="66"/>
      <c r="D27" s="67"/>
      <c r="E27" s="65" t="s">
        <v>1721</v>
      </c>
      <c r="F27" s="68">
        <f>F23</f>
        <v>2.39</v>
      </c>
      <c r="G27" s="62"/>
      <c r="H27" s="30"/>
    </row>
    <row r="28" spans="1:8">
      <c r="A28" s="268"/>
      <c r="B28" s="31"/>
      <c r="C28" s="66"/>
      <c r="D28" s="67"/>
      <c r="E28" s="65" t="s">
        <v>623</v>
      </c>
      <c r="F28" s="69">
        <f>F19</f>
        <v>0.56900000000000006</v>
      </c>
      <c r="G28" s="62"/>
      <c r="H28" s="30"/>
    </row>
    <row r="29" spans="1:8">
      <c r="A29" s="268"/>
      <c r="B29" s="31"/>
      <c r="C29" s="66"/>
      <c r="D29" s="67"/>
      <c r="E29" s="65"/>
      <c r="F29" s="46">
        <f>SUM(F27:F28)</f>
        <v>2.9590000000000001</v>
      </c>
      <c r="G29" s="62"/>
      <c r="H29" s="30"/>
    </row>
    <row r="30" spans="1:8">
      <c r="A30" s="268"/>
      <c r="B30" s="31"/>
      <c r="C30" s="66"/>
      <c r="D30" s="67"/>
      <c r="E30" s="65"/>
      <c r="F30" s="68"/>
      <c r="G30" s="62"/>
      <c r="H30" s="30"/>
    </row>
    <row r="31" spans="1:8" ht="25.5">
      <c r="A31" s="34">
        <f>MAX(A$1:A30)+1</f>
        <v>6</v>
      </c>
      <c r="B31" s="31"/>
      <c r="C31" s="36" t="s">
        <v>90</v>
      </c>
      <c r="D31" s="37"/>
      <c r="E31" s="38" t="s">
        <v>91</v>
      </c>
      <c r="F31" s="39"/>
      <c r="G31" s="40" t="s">
        <v>21</v>
      </c>
      <c r="H31" s="128">
        <v>5.69</v>
      </c>
    </row>
    <row r="32" spans="1:8" ht="25.5">
      <c r="A32" s="268"/>
      <c r="B32" s="31"/>
      <c r="C32" s="66"/>
      <c r="D32" s="67" t="s">
        <v>92</v>
      </c>
      <c r="E32" s="71" t="s">
        <v>93</v>
      </c>
      <c r="F32" s="61"/>
      <c r="G32" s="62" t="s">
        <v>21</v>
      </c>
      <c r="H32" s="124">
        <v>5.69</v>
      </c>
    </row>
    <row r="33" spans="1:17">
      <c r="A33" s="268"/>
      <c r="B33" s="31"/>
      <c r="C33" s="66"/>
      <c r="D33" s="67"/>
      <c r="E33" s="65" t="s">
        <v>1722</v>
      </c>
      <c r="F33" s="68">
        <v>5.69</v>
      </c>
      <c r="G33" s="62"/>
      <c r="H33" s="30"/>
    </row>
    <row r="34" spans="1:17">
      <c r="A34" s="268"/>
      <c r="B34" s="31"/>
      <c r="C34" s="66"/>
      <c r="D34" s="67"/>
      <c r="E34" s="65"/>
      <c r="F34" s="68"/>
      <c r="G34" s="62"/>
      <c r="H34" s="30"/>
    </row>
    <row r="35" spans="1:17" ht="25.5">
      <c r="A35" s="34">
        <f>MAX(A$1:A34)+1</f>
        <v>7</v>
      </c>
      <c r="B35" s="31"/>
      <c r="C35" s="36" t="s">
        <v>140</v>
      </c>
      <c r="D35" s="37"/>
      <c r="E35" s="38" t="s">
        <v>141</v>
      </c>
      <c r="F35" s="39"/>
      <c r="G35" s="40" t="s">
        <v>21</v>
      </c>
      <c r="H35" s="128">
        <v>5.69</v>
      </c>
    </row>
    <row r="36" spans="1:17" ht="25.5">
      <c r="A36" s="268"/>
      <c r="B36" s="31"/>
      <c r="C36" s="66"/>
      <c r="D36" s="67" t="s">
        <v>974</v>
      </c>
      <c r="E36" s="71" t="s">
        <v>975</v>
      </c>
      <c r="F36" s="61"/>
      <c r="G36" s="62" t="s">
        <v>21</v>
      </c>
      <c r="H36" s="124">
        <v>5.69</v>
      </c>
    </row>
    <row r="37" spans="1:17">
      <c r="A37" s="268"/>
      <c r="B37" s="31"/>
      <c r="C37" s="66"/>
      <c r="D37" s="67"/>
      <c r="E37" s="65" t="s">
        <v>874</v>
      </c>
      <c r="F37" s="68">
        <f>F33</f>
        <v>5.69</v>
      </c>
      <c r="G37" s="62"/>
      <c r="H37" s="30"/>
    </row>
    <row r="38" spans="1:17">
      <c r="A38" s="268"/>
      <c r="B38" s="31"/>
      <c r="C38" s="66"/>
      <c r="D38" s="67"/>
      <c r="E38" s="65"/>
      <c r="F38" s="68"/>
      <c r="G38" s="62"/>
      <c r="H38" s="30"/>
    </row>
    <row r="39" spans="1:17" ht="25.5">
      <c r="A39" s="34">
        <f>MAX(A$1:A38)+1</f>
        <v>8</v>
      </c>
      <c r="B39" s="31"/>
      <c r="C39" s="36" t="s">
        <v>98</v>
      </c>
      <c r="D39" s="37"/>
      <c r="E39" s="38" t="s">
        <v>99</v>
      </c>
      <c r="F39" s="39"/>
      <c r="G39" s="40" t="s">
        <v>21</v>
      </c>
      <c r="H39" s="128">
        <v>5.69</v>
      </c>
    </row>
    <row r="40" spans="1:17" ht="25.5">
      <c r="A40" s="268"/>
      <c r="B40" s="31"/>
      <c r="C40" s="66"/>
      <c r="D40" s="67" t="s">
        <v>100</v>
      </c>
      <c r="E40" s="71" t="s">
        <v>101</v>
      </c>
      <c r="F40" s="61"/>
      <c r="G40" s="62" t="s">
        <v>21</v>
      </c>
      <c r="H40" s="124">
        <v>5.69</v>
      </c>
    </row>
    <row r="41" spans="1:17">
      <c r="A41" s="268"/>
      <c r="B41" s="31"/>
      <c r="C41" s="66"/>
      <c r="D41" s="67"/>
      <c r="E41" s="65" t="s">
        <v>102</v>
      </c>
      <c r="F41" s="68">
        <f>F37</f>
        <v>5.69</v>
      </c>
      <c r="G41" s="62"/>
      <c r="H41" s="30"/>
    </row>
    <row r="42" spans="1:17">
      <c r="A42" s="268"/>
      <c r="B42" s="31"/>
      <c r="C42" s="66"/>
      <c r="D42" s="67"/>
      <c r="E42" s="65"/>
      <c r="F42" s="68"/>
      <c r="G42" s="62"/>
      <c r="H42" s="30"/>
    </row>
    <row r="43" spans="1:17" s="98" customFormat="1">
      <c r="A43" s="95"/>
      <c r="B43" s="35" t="s">
        <v>54</v>
      </c>
      <c r="C43" s="93"/>
      <c r="D43" s="94"/>
      <c r="E43" s="50" t="s">
        <v>55</v>
      </c>
      <c r="F43" s="100"/>
      <c r="G43" s="101"/>
      <c r="H43" s="42"/>
      <c r="I43"/>
      <c r="J43"/>
      <c r="K43"/>
      <c r="L43"/>
      <c r="Q43"/>
    </row>
    <row r="44" spans="1:17" s="98" customFormat="1">
      <c r="A44" s="95"/>
      <c r="B44" s="35"/>
      <c r="C44" s="93"/>
      <c r="D44" s="94"/>
      <c r="E44" s="50"/>
      <c r="F44" s="100"/>
      <c r="G44" s="101"/>
      <c r="H44" s="42"/>
      <c r="I44"/>
      <c r="J44"/>
      <c r="K44"/>
      <c r="L44"/>
      <c r="Q44"/>
    </row>
    <row r="45" spans="1:17">
      <c r="A45" s="34">
        <f>MAX(A$1:A44)+1</f>
        <v>9</v>
      </c>
      <c r="B45" s="43"/>
      <c r="C45" s="36" t="s">
        <v>237</v>
      </c>
      <c r="D45" s="66"/>
      <c r="E45" s="38" t="s">
        <v>238</v>
      </c>
      <c r="F45" s="39"/>
      <c r="G45" s="40" t="s">
        <v>18</v>
      </c>
      <c r="H45" s="64">
        <v>8.4600000000000009</v>
      </c>
      <c r="I45" s="689"/>
    </row>
    <row r="46" spans="1:17" ht="25.5">
      <c r="A46" s="72"/>
      <c r="B46" s="73"/>
      <c r="C46" s="66"/>
      <c r="D46" s="66" t="s">
        <v>239</v>
      </c>
      <c r="E46" s="71" t="s">
        <v>240</v>
      </c>
      <c r="F46" s="61"/>
      <c r="G46" s="62" t="s">
        <v>18</v>
      </c>
      <c r="H46" s="83">
        <v>8.4600000000000009</v>
      </c>
    </row>
    <row r="47" spans="1:17" s="111" customFormat="1">
      <c r="A47" s="179"/>
      <c r="B47" s="256"/>
      <c r="C47" s="79"/>
      <c r="D47" s="67"/>
      <c r="E47" s="77" t="s">
        <v>1723</v>
      </c>
      <c r="F47" s="231">
        <v>8.4600000000000009</v>
      </c>
      <c r="G47" s="62"/>
      <c r="H47" s="246"/>
      <c r="I47"/>
      <c r="J47"/>
      <c r="Q47"/>
    </row>
    <row r="48" spans="1:17" s="111" customFormat="1">
      <c r="A48" s="179"/>
      <c r="B48" s="256"/>
      <c r="C48" s="79"/>
      <c r="D48" s="67"/>
      <c r="E48" s="77"/>
      <c r="F48" s="231"/>
      <c r="G48" s="62"/>
      <c r="H48" s="246"/>
      <c r="I48"/>
      <c r="J48"/>
      <c r="Q48"/>
    </row>
    <row r="49" spans="1:17">
      <c r="A49" s="34">
        <f>MAX(A$1:A48)+1</f>
        <v>10</v>
      </c>
      <c r="B49" s="43"/>
      <c r="C49" s="36" t="s">
        <v>78</v>
      </c>
      <c r="D49" s="37"/>
      <c r="E49" s="38" t="s">
        <v>79</v>
      </c>
      <c r="F49" s="39"/>
      <c r="G49" s="40" t="s">
        <v>18</v>
      </c>
      <c r="H49" s="64">
        <v>2.81</v>
      </c>
    </row>
    <row r="50" spans="1:17" s="111" customFormat="1">
      <c r="A50" s="179"/>
      <c r="B50" s="256"/>
      <c r="C50" s="79"/>
      <c r="D50" s="67" t="s">
        <v>167</v>
      </c>
      <c r="E50" s="71" t="s">
        <v>168</v>
      </c>
      <c r="F50" s="61"/>
      <c r="G50" s="62" t="s">
        <v>18</v>
      </c>
      <c r="H50" s="124">
        <v>2.81</v>
      </c>
      <c r="Q50"/>
    </row>
    <row r="51" spans="1:17" s="111" customFormat="1">
      <c r="A51" s="179"/>
      <c r="B51" s="256"/>
      <c r="C51" s="79"/>
      <c r="D51" s="67"/>
      <c r="E51" s="121" t="s">
        <v>1724</v>
      </c>
      <c r="F51" s="231"/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1725</v>
      </c>
      <c r="F52" s="231">
        <v>2.33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 t="s">
        <v>1726</v>
      </c>
      <c r="F53" s="257">
        <v>0.48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91"/>
      <c r="F54" s="81">
        <f>SUM(F52:F53)</f>
        <v>2.81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91"/>
      <c r="F55" s="81"/>
      <c r="G55" s="62"/>
      <c r="H55" s="246"/>
      <c r="Q55"/>
    </row>
    <row r="56" spans="1:17" s="111" customFormat="1">
      <c r="A56" s="179"/>
      <c r="B56" s="35" t="s">
        <v>56</v>
      </c>
      <c r="C56" s="93"/>
      <c r="D56" s="94"/>
      <c r="E56" s="96" t="s">
        <v>57</v>
      </c>
      <c r="F56" s="81"/>
      <c r="G56" s="62"/>
      <c r="H56" s="246"/>
      <c r="Q56"/>
    </row>
    <row r="57" spans="1:17" s="111" customFormat="1">
      <c r="A57" s="179"/>
      <c r="B57" s="35"/>
      <c r="C57" s="93"/>
      <c r="D57" s="94"/>
      <c r="E57" s="50"/>
      <c r="F57" s="81"/>
      <c r="G57" s="62"/>
      <c r="H57" s="246"/>
      <c r="Q57"/>
    </row>
    <row r="58" spans="1:17" s="111" customFormat="1">
      <c r="A58" s="34">
        <f>MAX(A$1:A57)+1</f>
        <v>11</v>
      </c>
      <c r="B58" s="256"/>
      <c r="C58" s="36" t="s">
        <v>58</v>
      </c>
      <c r="D58" s="37"/>
      <c r="E58" s="38" t="s">
        <v>59</v>
      </c>
      <c r="F58" s="39"/>
      <c r="G58" s="40" t="s">
        <v>18</v>
      </c>
      <c r="H58" s="64">
        <v>8.4600000000000009</v>
      </c>
      <c r="Q58"/>
    </row>
    <row r="59" spans="1:17" s="111" customFormat="1">
      <c r="A59" s="179"/>
      <c r="B59" s="256"/>
      <c r="C59" s="66"/>
      <c r="D59" s="67" t="s">
        <v>60</v>
      </c>
      <c r="E59" s="71" t="s">
        <v>61</v>
      </c>
      <c r="F59" s="61"/>
      <c r="G59" s="62" t="s">
        <v>18</v>
      </c>
      <c r="H59" s="83">
        <v>8.4600000000000009</v>
      </c>
      <c r="Q59"/>
    </row>
    <row r="60" spans="1:17" s="111" customFormat="1">
      <c r="A60" s="179"/>
      <c r="B60" s="256"/>
      <c r="C60" s="66"/>
      <c r="D60" s="67"/>
      <c r="E60" s="65" t="s">
        <v>1212</v>
      </c>
      <c r="F60" s="46">
        <f>F47</f>
        <v>8.4600000000000009</v>
      </c>
      <c r="G60" s="62"/>
      <c r="H60" s="246"/>
      <c r="Q60"/>
    </row>
    <row r="61" spans="1:17" s="111" customFormat="1">
      <c r="A61" s="179"/>
      <c r="B61" s="256"/>
      <c r="C61" s="66"/>
      <c r="D61" s="67"/>
      <c r="E61" s="65"/>
      <c r="F61" s="46"/>
      <c r="G61" s="62"/>
      <c r="H61" s="246"/>
      <c r="Q61"/>
    </row>
    <row r="62" spans="1:17" s="111" customFormat="1">
      <c r="A62" s="34">
        <f>MAX(A$1:A61)+1</f>
        <v>12</v>
      </c>
      <c r="B62" s="256"/>
      <c r="C62" s="36" t="s">
        <v>50</v>
      </c>
      <c r="D62" s="37"/>
      <c r="E62" s="38" t="s">
        <v>51</v>
      </c>
      <c r="F62" s="39"/>
      <c r="G62" s="40" t="s">
        <v>18</v>
      </c>
      <c r="H62" s="64">
        <v>8.4600000000000009</v>
      </c>
      <c r="Q62"/>
    </row>
    <row r="63" spans="1:17" s="111" customFormat="1" ht="25.5">
      <c r="A63" s="179"/>
      <c r="B63" s="256"/>
      <c r="C63" s="66"/>
      <c r="D63" s="67" t="s">
        <v>138</v>
      </c>
      <c r="E63" s="71" t="s">
        <v>139</v>
      </c>
      <c r="F63" s="61"/>
      <c r="G63" s="62" t="s">
        <v>18</v>
      </c>
      <c r="H63" s="83">
        <v>8.4600000000000009</v>
      </c>
      <c r="Q63"/>
    </row>
    <row r="64" spans="1:17" s="111" customFormat="1">
      <c r="A64" s="179"/>
      <c r="B64" s="256"/>
      <c r="C64" s="66"/>
      <c r="D64" s="67"/>
      <c r="E64" s="65" t="s">
        <v>1216</v>
      </c>
      <c r="F64" s="46">
        <f>F60</f>
        <v>8.4600000000000009</v>
      </c>
      <c r="G64" s="62"/>
      <c r="H64" s="246"/>
      <c r="Q64"/>
    </row>
    <row r="65" spans="1:17" s="111" customFormat="1">
      <c r="A65" s="179"/>
      <c r="B65" s="256"/>
      <c r="C65" s="66"/>
      <c r="D65" s="67"/>
      <c r="E65" s="65"/>
      <c r="F65" s="46"/>
      <c r="G65" s="62"/>
      <c r="H65" s="246"/>
      <c r="Q65"/>
    </row>
    <row r="66" spans="1:17" s="98" customFormat="1" ht="25.5">
      <c r="A66" s="34"/>
      <c r="B66" s="35" t="s">
        <v>261</v>
      </c>
      <c r="C66" s="35"/>
      <c r="D66" s="94"/>
      <c r="E66" s="50" t="s">
        <v>262</v>
      </c>
      <c r="F66" s="100"/>
      <c r="G66" s="97"/>
      <c r="H66" s="42"/>
      <c r="I66"/>
      <c r="J66"/>
      <c r="K66"/>
      <c r="L66"/>
      <c r="Q66"/>
    </row>
    <row r="67" spans="1:17" s="98" customFormat="1">
      <c r="A67" s="145"/>
      <c r="B67" s="35"/>
      <c r="C67" s="35"/>
      <c r="D67" s="94"/>
      <c r="E67" s="50"/>
      <c r="F67" s="100"/>
      <c r="G67" s="97"/>
      <c r="H67" s="42"/>
      <c r="I67"/>
      <c r="J67"/>
      <c r="K67"/>
      <c r="L67"/>
      <c r="Q67"/>
    </row>
    <row r="68" spans="1:17">
      <c r="A68" s="34">
        <f>MAX(A$1:A67)+1</f>
        <v>13</v>
      </c>
      <c r="B68" s="43"/>
      <c r="C68" s="36" t="s">
        <v>406</v>
      </c>
      <c r="D68" s="37"/>
      <c r="E68" s="38" t="s">
        <v>407</v>
      </c>
      <c r="F68" s="39"/>
      <c r="G68" s="40" t="s">
        <v>18</v>
      </c>
      <c r="H68" s="44">
        <v>5.57</v>
      </c>
    </row>
    <row r="69" spans="1:17">
      <c r="A69" s="72"/>
      <c r="B69" s="73"/>
      <c r="C69" s="66"/>
      <c r="D69" s="191"/>
      <c r="E69" s="210" t="s">
        <v>1727</v>
      </c>
      <c r="F69" s="192"/>
      <c r="G69" s="32"/>
      <c r="H69" s="74"/>
    </row>
    <row r="70" spans="1:17" s="98" customFormat="1">
      <c r="A70" s="145"/>
      <c r="B70" s="35"/>
      <c r="C70" s="35"/>
      <c r="D70" s="94"/>
      <c r="E70" s="65" t="s">
        <v>1728</v>
      </c>
      <c r="F70" s="212"/>
      <c r="G70" s="97"/>
      <c r="H70" s="42"/>
      <c r="I70"/>
      <c r="J70"/>
      <c r="K70"/>
      <c r="L70"/>
      <c r="Q70"/>
    </row>
    <row r="71" spans="1:17" s="98" customFormat="1">
      <c r="A71" s="145"/>
      <c r="B71" s="35"/>
      <c r="C71" s="35"/>
      <c r="D71" s="94"/>
      <c r="E71" s="65" t="s">
        <v>1729</v>
      </c>
      <c r="F71" s="212"/>
      <c r="G71" s="97"/>
      <c r="H71" s="42"/>
      <c r="I71"/>
      <c r="J71"/>
      <c r="K71"/>
      <c r="L71"/>
      <c r="Q71"/>
    </row>
    <row r="72" spans="1:17">
      <c r="A72" s="34"/>
      <c r="B72" s="43"/>
      <c r="C72" s="36"/>
      <c r="D72" s="37"/>
      <c r="E72" s="65" t="s">
        <v>1730</v>
      </c>
      <c r="F72" s="46">
        <f>0.4*0.6*0.25*88+0.4*0.3*0.35*7</f>
        <v>5.573999999999999</v>
      </c>
      <c r="G72" s="40"/>
      <c r="H72" s="44"/>
    </row>
    <row r="73" spans="1:17">
      <c r="A73" s="72"/>
      <c r="B73" s="73"/>
      <c r="C73" s="66"/>
      <c r="D73" s="67"/>
      <c r="E73" s="65" t="s">
        <v>1731</v>
      </c>
      <c r="F73" s="61"/>
      <c r="G73" s="62"/>
      <c r="H73" s="74"/>
    </row>
    <row r="74" spans="1:17" ht="25.5">
      <c r="A74" s="105"/>
      <c r="B74" s="73"/>
      <c r="C74" s="66"/>
      <c r="D74" s="67"/>
      <c r="E74" s="65" t="s">
        <v>1732</v>
      </c>
      <c r="F74" s="46"/>
      <c r="G74" s="62"/>
      <c r="H74" s="74"/>
    </row>
    <row r="75" spans="1:17">
      <c r="A75" s="105"/>
      <c r="B75" s="73"/>
      <c r="C75" s="66"/>
      <c r="D75" s="67"/>
      <c r="E75" s="71"/>
      <c r="F75" s="61"/>
      <c r="G75" s="62"/>
      <c r="H75" s="74"/>
    </row>
    <row r="76" spans="1:17">
      <c r="A76" s="34"/>
      <c r="B76" s="35" t="s">
        <v>408</v>
      </c>
      <c r="C76" s="35"/>
      <c r="D76" s="94"/>
      <c r="E76" s="50" t="s">
        <v>409</v>
      </c>
      <c r="F76" s="39"/>
      <c r="G76" s="40"/>
      <c r="H76" s="254"/>
      <c r="I76" s="54"/>
    </row>
    <row r="77" spans="1:17">
      <c r="A77" s="34"/>
      <c r="B77" s="43"/>
      <c r="C77" s="36"/>
      <c r="D77" s="67"/>
      <c r="E77" s="71"/>
      <c r="F77" s="61"/>
      <c r="G77" s="62"/>
      <c r="H77" s="255"/>
    </row>
    <row r="78" spans="1:17" ht="25.5">
      <c r="A78" s="34">
        <f>MAX(A$1:A77)+1</f>
        <v>14</v>
      </c>
      <c r="B78" s="43"/>
      <c r="C78" s="36" t="s">
        <v>410</v>
      </c>
      <c r="D78" s="37"/>
      <c r="E78" s="38" t="s">
        <v>411</v>
      </c>
      <c r="F78" s="39"/>
      <c r="G78" s="40" t="s">
        <v>21</v>
      </c>
      <c r="H78" s="254">
        <v>10.850000000000001</v>
      </c>
      <c r="I78" s="689"/>
    </row>
    <row r="79" spans="1:17" ht="25.5">
      <c r="A79" s="34"/>
      <c r="B79" s="43"/>
      <c r="C79" s="66"/>
      <c r="D79" s="67" t="s">
        <v>412</v>
      </c>
      <c r="E79" s="71" t="s">
        <v>413</v>
      </c>
      <c r="F79" s="61"/>
      <c r="G79" s="62" t="s">
        <v>21</v>
      </c>
      <c r="H79" s="255">
        <v>4.6500000000000004</v>
      </c>
    </row>
    <row r="80" spans="1:17">
      <c r="A80" s="72"/>
      <c r="B80" s="73"/>
      <c r="C80" s="66"/>
      <c r="D80" s="67"/>
      <c r="E80" s="84" t="s">
        <v>1733</v>
      </c>
      <c r="F80" s="46"/>
      <c r="G80" s="62"/>
      <c r="H80" s="42"/>
    </row>
    <row r="81" spans="1:17">
      <c r="A81" s="105"/>
      <c r="B81" s="73"/>
      <c r="C81" s="66"/>
      <c r="D81" s="67"/>
      <c r="E81" s="65"/>
      <c r="F81" s="46">
        <v>4.6500000000000004</v>
      </c>
      <c r="G81" s="62"/>
      <c r="H81" s="42"/>
    </row>
    <row r="82" spans="1:17" ht="25.5">
      <c r="A82" s="105"/>
      <c r="B82" s="73"/>
      <c r="C82" s="66"/>
      <c r="D82" s="67" t="s">
        <v>414</v>
      </c>
      <c r="E82" s="71" t="s">
        <v>415</v>
      </c>
      <c r="F82" s="61"/>
      <c r="G82" s="62" t="s">
        <v>21</v>
      </c>
      <c r="H82" s="255">
        <v>6.2</v>
      </c>
    </row>
    <row r="83" spans="1:17">
      <c r="A83" s="105"/>
      <c r="B83" s="73"/>
      <c r="C83" s="66"/>
      <c r="D83" s="67"/>
      <c r="E83" s="84" t="s">
        <v>1733</v>
      </c>
      <c r="F83" s="46"/>
      <c r="G83" s="62"/>
      <c r="H83" s="42"/>
    </row>
    <row r="84" spans="1:17">
      <c r="A84" s="34"/>
      <c r="B84" s="43"/>
      <c r="C84" s="36"/>
      <c r="D84" s="37"/>
      <c r="E84" s="38"/>
      <c r="F84" s="46">
        <v>6.2</v>
      </c>
      <c r="G84" s="40"/>
      <c r="H84" s="254"/>
      <c r="I84" s="115"/>
    </row>
    <row r="85" spans="1:17">
      <c r="A85" s="72"/>
      <c r="B85" s="73"/>
      <c r="C85" s="66"/>
      <c r="D85" s="67"/>
      <c r="E85" s="71"/>
      <c r="F85" s="61"/>
      <c r="G85" s="62"/>
      <c r="H85" s="255"/>
    </row>
    <row r="86" spans="1:17">
      <c r="A86" s="72"/>
      <c r="B86" s="35" t="s">
        <v>416</v>
      </c>
      <c r="C86" s="35"/>
      <c r="D86" s="94"/>
      <c r="E86" s="50" t="s">
        <v>417</v>
      </c>
      <c r="F86" s="90"/>
      <c r="G86" s="62"/>
      <c r="H86" s="99"/>
    </row>
    <row r="87" spans="1:17">
      <c r="A87" s="72"/>
      <c r="B87" s="73"/>
      <c r="C87" s="66"/>
      <c r="D87" s="67"/>
      <c r="E87" s="71"/>
      <c r="F87" s="61"/>
      <c r="G87" s="62"/>
      <c r="H87" s="99"/>
    </row>
    <row r="88" spans="1:17" ht="25.5">
      <c r="A88" s="34">
        <f>MAX(A$1:A87)+1</f>
        <v>15</v>
      </c>
      <c r="B88" s="73"/>
      <c r="C88" s="36" t="s">
        <v>387</v>
      </c>
      <c r="D88" s="66"/>
      <c r="E88" s="38" t="s">
        <v>388</v>
      </c>
      <c r="F88" s="39"/>
      <c r="G88" s="40" t="s">
        <v>18</v>
      </c>
      <c r="H88" s="52">
        <v>1.95</v>
      </c>
      <c r="I88" s="54"/>
    </row>
    <row r="89" spans="1:17" ht="25.5">
      <c r="A89" s="72"/>
      <c r="B89" s="73"/>
      <c r="C89" s="66"/>
      <c r="D89" s="191" t="s">
        <v>391</v>
      </c>
      <c r="E89" s="193" t="s">
        <v>392</v>
      </c>
      <c r="F89" s="192"/>
      <c r="G89" s="32" t="s">
        <v>18</v>
      </c>
      <c r="H89" s="99">
        <v>1.95</v>
      </c>
    </row>
    <row r="90" spans="1:17">
      <c r="A90" s="34"/>
      <c r="B90" s="73"/>
      <c r="C90" s="37"/>
      <c r="D90" s="36"/>
      <c r="E90" s="65" t="s">
        <v>1734</v>
      </c>
      <c r="F90" s="68">
        <v>1.95</v>
      </c>
      <c r="G90" s="40"/>
      <c r="H90" s="52"/>
    </row>
    <row r="91" spans="1:17">
      <c r="A91" s="72"/>
      <c r="B91" s="73"/>
      <c r="C91" s="66"/>
      <c r="D91" s="66"/>
      <c r="E91" s="71"/>
      <c r="F91" s="39"/>
      <c r="G91" s="62"/>
      <c r="H91" s="99"/>
    </row>
    <row r="92" spans="1:17">
      <c r="A92" s="72"/>
      <c r="B92" s="73"/>
      <c r="C92" s="66"/>
      <c r="D92" s="67"/>
      <c r="E92" s="84"/>
      <c r="F92" s="90"/>
      <c r="G92" s="62"/>
      <c r="H92" s="99"/>
    </row>
    <row r="93" spans="1:17" ht="15.75" thickBot="1">
      <c r="A93" s="106"/>
      <c r="B93" s="107"/>
      <c r="C93" s="107"/>
      <c r="D93" s="107"/>
      <c r="E93" s="108"/>
      <c r="F93" s="109"/>
      <c r="G93" s="107"/>
      <c r="H93" s="110"/>
    </row>
    <row r="94" spans="1:17">
      <c r="E94" s="6"/>
      <c r="F94" s="112"/>
      <c r="H94" s="8"/>
      <c r="Q94" s="223"/>
    </row>
  </sheetData>
  <sheetProtection algorithmName="SHA-512" hashValue="fSynw77Rz9mNqPXm9JfcrwXtt6Yvikl+QDkRgFYFUm3f7zoOktxpzQgOE5yxGS4fpu3ot2tfTeD3VY3ANUIIVw==" saltValue="URcDmpQAh6IOaD6fyW9+E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67622-EF5C-4C41-A244-7B5BAEEF2F8D}">
  <sheetPr codeName="Hárok9"/>
  <dimension ref="A1:H31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248" width="9.140625" style="410"/>
    <col min="249" max="249" width="4.7109375" style="410" customWidth="1"/>
    <col min="250" max="250" width="9.28515625" style="410" customWidth="1"/>
    <col min="251" max="251" width="9" style="410" customWidth="1"/>
    <col min="252" max="252" width="10.85546875" style="410" customWidth="1"/>
    <col min="253" max="253" width="52.7109375" style="410" customWidth="1"/>
    <col min="254" max="254" width="9.85546875" style="410" customWidth="1"/>
    <col min="255" max="255" width="5.7109375" style="410" customWidth="1"/>
    <col min="256" max="256" width="10.140625" style="410" customWidth="1"/>
    <col min="257" max="258" width="10.7109375" style="410" customWidth="1"/>
    <col min="259" max="259" width="10.5703125" style="410" customWidth="1"/>
    <col min="260" max="504" width="9.140625" style="410"/>
    <col min="505" max="505" width="4.7109375" style="410" customWidth="1"/>
    <col min="506" max="506" width="9.28515625" style="410" customWidth="1"/>
    <col min="507" max="507" width="9" style="410" customWidth="1"/>
    <col min="508" max="508" width="10.85546875" style="410" customWidth="1"/>
    <col min="509" max="509" width="52.7109375" style="410" customWidth="1"/>
    <col min="510" max="510" width="9.85546875" style="410" customWidth="1"/>
    <col min="511" max="511" width="5.7109375" style="410" customWidth="1"/>
    <col min="512" max="512" width="10.140625" style="410" customWidth="1"/>
    <col min="513" max="514" width="10.7109375" style="410" customWidth="1"/>
    <col min="515" max="515" width="10.5703125" style="410" customWidth="1"/>
    <col min="516" max="760" width="9.140625" style="410"/>
    <col min="761" max="761" width="4.7109375" style="410" customWidth="1"/>
    <col min="762" max="762" width="9.28515625" style="410" customWidth="1"/>
    <col min="763" max="763" width="9" style="410" customWidth="1"/>
    <col min="764" max="764" width="10.85546875" style="410" customWidth="1"/>
    <col min="765" max="765" width="52.7109375" style="410" customWidth="1"/>
    <col min="766" max="766" width="9.85546875" style="410" customWidth="1"/>
    <col min="767" max="767" width="5.7109375" style="410" customWidth="1"/>
    <col min="768" max="768" width="10.140625" style="410" customWidth="1"/>
    <col min="769" max="770" width="10.7109375" style="410" customWidth="1"/>
    <col min="771" max="771" width="10.5703125" style="410" customWidth="1"/>
    <col min="772" max="1016" width="9.140625" style="410"/>
    <col min="1017" max="1017" width="4.7109375" style="410" customWidth="1"/>
    <col min="1018" max="1018" width="9.28515625" style="410" customWidth="1"/>
    <col min="1019" max="1019" width="9" style="410" customWidth="1"/>
    <col min="1020" max="1020" width="10.85546875" style="410" customWidth="1"/>
    <col min="1021" max="1021" width="52.7109375" style="410" customWidth="1"/>
    <col min="1022" max="1022" width="9.85546875" style="410" customWidth="1"/>
    <col min="1023" max="1023" width="5.7109375" style="410" customWidth="1"/>
    <col min="1024" max="1024" width="10.140625" style="410" customWidth="1"/>
    <col min="1025" max="1026" width="10.7109375" style="410" customWidth="1"/>
    <col min="1027" max="1027" width="10.5703125" style="410" customWidth="1"/>
    <col min="1028" max="1272" width="9.140625" style="410"/>
    <col min="1273" max="1273" width="4.7109375" style="410" customWidth="1"/>
    <col min="1274" max="1274" width="9.28515625" style="410" customWidth="1"/>
    <col min="1275" max="1275" width="9" style="410" customWidth="1"/>
    <col min="1276" max="1276" width="10.85546875" style="410" customWidth="1"/>
    <col min="1277" max="1277" width="52.7109375" style="410" customWidth="1"/>
    <col min="1278" max="1278" width="9.85546875" style="410" customWidth="1"/>
    <col min="1279" max="1279" width="5.7109375" style="410" customWidth="1"/>
    <col min="1280" max="1280" width="10.140625" style="410" customWidth="1"/>
    <col min="1281" max="1282" width="10.7109375" style="410" customWidth="1"/>
    <col min="1283" max="1283" width="10.5703125" style="410" customWidth="1"/>
    <col min="1284" max="1528" width="9.140625" style="410"/>
    <col min="1529" max="1529" width="4.7109375" style="410" customWidth="1"/>
    <col min="1530" max="1530" width="9.28515625" style="410" customWidth="1"/>
    <col min="1531" max="1531" width="9" style="410" customWidth="1"/>
    <col min="1532" max="1532" width="10.85546875" style="410" customWidth="1"/>
    <col min="1533" max="1533" width="52.7109375" style="410" customWidth="1"/>
    <col min="1534" max="1534" width="9.85546875" style="410" customWidth="1"/>
    <col min="1535" max="1535" width="5.7109375" style="410" customWidth="1"/>
    <col min="1536" max="1536" width="10.140625" style="410" customWidth="1"/>
    <col min="1537" max="1538" width="10.7109375" style="410" customWidth="1"/>
    <col min="1539" max="1539" width="10.5703125" style="410" customWidth="1"/>
    <col min="1540" max="1784" width="9.140625" style="410"/>
    <col min="1785" max="1785" width="4.7109375" style="410" customWidth="1"/>
    <col min="1786" max="1786" width="9.28515625" style="410" customWidth="1"/>
    <col min="1787" max="1787" width="9" style="410" customWidth="1"/>
    <col min="1788" max="1788" width="10.85546875" style="410" customWidth="1"/>
    <col min="1789" max="1789" width="52.7109375" style="410" customWidth="1"/>
    <col min="1790" max="1790" width="9.85546875" style="410" customWidth="1"/>
    <col min="1791" max="1791" width="5.7109375" style="410" customWidth="1"/>
    <col min="1792" max="1792" width="10.140625" style="410" customWidth="1"/>
    <col min="1793" max="1794" width="10.7109375" style="410" customWidth="1"/>
    <col min="1795" max="1795" width="10.5703125" style="410" customWidth="1"/>
    <col min="1796" max="2040" width="9.140625" style="410"/>
    <col min="2041" max="2041" width="4.7109375" style="410" customWidth="1"/>
    <col min="2042" max="2042" width="9.28515625" style="410" customWidth="1"/>
    <col min="2043" max="2043" width="9" style="410" customWidth="1"/>
    <col min="2044" max="2044" width="10.85546875" style="410" customWidth="1"/>
    <col min="2045" max="2045" width="52.7109375" style="410" customWidth="1"/>
    <col min="2046" max="2046" width="9.85546875" style="410" customWidth="1"/>
    <col min="2047" max="2047" width="5.7109375" style="410" customWidth="1"/>
    <col min="2048" max="2048" width="10.140625" style="410" customWidth="1"/>
    <col min="2049" max="2050" width="10.7109375" style="410" customWidth="1"/>
    <col min="2051" max="2051" width="10.5703125" style="410" customWidth="1"/>
    <col min="2052" max="2296" width="9.140625" style="410"/>
    <col min="2297" max="2297" width="4.7109375" style="410" customWidth="1"/>
    <col min="2298" max="2298" width="9.28515625" style="410" customWidth="1"/>
    <col min="2299" max="2299" width="9" style="410" customWidth="1"/>
    <col min="2300" max="2300" width="10.85546875" style="410" customWidth="1"/>
    <col min="2301" max="2301" width="52.7109375" style="410" customWidth="1"/>
    <col min="2302" max="2302" width="9.85546875" style="410" customWidth="1"/>
    <col min="2303" max="2303" width="5.7109375" style="410" customWidth="1"/>
    <col min="2304" max="2304" width="10.140625" style="410" customWidth="1"/>
    <col min="2305" max="2306" width="10.7109375" style="410" customWidth="1"/>
    <col min="2307" max="2307" width="10.5703125" style="410" customWidth="1"/>
    <col min="2308" max="2552" width="9.140625" style="410"/>
    <col min="2553" max="2553" width="4.7109375" style="410" customWidth="1"/>
    <col min="2554" max="2554" width="9.28515625" style="410" customWidth="1"/>
    <col min="2555" max="2555" width="9" style="410" customWidth="1"/>
    <col min="2556" max="2556" width="10.85546875" style="410" customWidth="1"/>
    <col min="2557" max="2557" width="52.7109375" style="410" customWidth="1"/>
    <col min="2558" max="2558" width="9.85546875" style="410" customWidth="1"/>
    <col min="2559" max="2559" width="5.7109375" style="410" customWidth="1"/>
    <col min="2560" max="2560" width="10.140625" style="410" customWidth="1"/>
    <col min="2561" max="2562" width="10.7109375" style="410" customWidth="1"/>
    <col min="2563" max="2563" width="10.5703125" style="410" customWidth="1"/>
    <col min="2564" max="2808" width="9.140625" style="410"/>
    <col min="2809" max="2809" width="4.7109375" style="410" customWidth="1"/>
    <col min="2810" max="2810" width="9.28515625" style="410" customWidth="1"/>
    <col min="2811" max="2811" width="9" style="410" customWidth="1"/>
    <col min="2812" max="2812" width="10.85546875" style="410" customWidth="1"/>
    <col min="2813" max="2813" width="52.7109375" style="410" customWidth="1"/>
    <col min="2814" max="2814" width="9.85546875" style="410" customWidth="1"/>
    <col min="2815" max="2815" width="5.7109375" style="410" customWidth="1"/>
    <col min="2816" max="2816" width="10.140625" style="410" customWidth="1"/>
    <col min="2817" max="2818" width="10.7109375" style="410" customWidth="1"/>
    <col min="2819" max="2819" width="10.5703125" style="410" customWidth="1"/>
    <col min="2820" max="3064" width="9.140625" style="410"/>
    <col min="3065" max="3065" width="4.7109375" style="410" customWidth="1"/>
    <col min="3066" max="3066" width="9.28515625" style="410" customWidth="1"/>
    <col min="3067" max="3067" width="9" style="410" customWidth="1"/>
    <col min="3068" max="3068" width="10.85546875" style="410" customWidth="1"/>
    <col min="3069" max="3069" width="52.7109375" style="410" customWidth="1"/>
    <col min="3070" max="3070" width="9.85546875" style="410" customWidth="1"/>
    <col min="3071" max="3071" width="5.7109375" style="410" customWidth="1"/>
    <col min="3072" max="3072" width="10.140625" style="410" customWidth="1"/>
    <col min="3073" max="3074" width="10.7109375" style="410" customWidth="1"/>
    <col min="3075" max="3075" width="10.5703125" style="410" customWidth="1"/>
    <col min="3076" max="3320" width="9.140625" style="410"/>
    <col min="3321" max="3321" width="4.7109375" style="410" customWidth="1"/>
    <col min="3322" max="3322" width="9.28515625" style="410" customWidth="1"/>
    <col min="3323" max="3323" width="9" style="410" customWidth="1"/>
    <col min="3324" max="3324" width="10.85546875" style="410" customWidth="1"/>
    <col min="3325" max="3325" width="52.7109375" style="410" customWidth="1"/>
    <col min="3326" max="3326" width="9.85546875" style="410" customWidth="1"/>
    <col min="3327" max="3327" width="5.7109375" style="410" customWidth="1"/>
    <col min="3328" max="3328" width="10.140625" style="410" customWidth="1"/>
    <col min="3329" max="3330" width="10.7109375" style="410" customWidth="1"/>
    <col min="3331" max="3331" width="10.5703125" style="410" customWidth="1"/>
    <col min="3332" max="3576" width="9.140625" style="410"/>
    <col min="3577" max="3577" width="4.7109375" style="410" customWidth="1"/>
    <col min="3578" max="3578" width="9.28515625" style="410" customWidth="1"/>
    <col min="3579" max="3579" width="9" style="410" customWidth="1"/>
    <col min="3580" max="3580" width="10.85546875" style="410" customWidth="1"/>
    <col min="3581" max="3581" width="52.7109375" style="410" customWidth="1"/>
    <col min="3582" max="3582" width="9.85546875" style="410" customWidth="1"/>
    <col min="3583" max="3583" width="5.7109375" style="410" customWidth="1"/>
    <col min="3584" max="3584" width="10.140625" style="410" customWidth="1"/>
    <col min="3585" max="3586" width="10.7109375" style="410" customWidth="1"/>
    <col min="3587" max="3587" width="10.5703125" style="410" customWidth="1"/>
    <col min="3588" max="3832" width="9.140625" style="410"/>
    <col min="3833" max="3833" width="4.7109375" style="410" customWidth="1"/>
    <col min="3834" max="3834" width="9.28515625" style="410" customWidth="1"/>
    <col min="3835" max="3835" width="9" style="410" customWidth="1"/>
    <col min="3836" max="3836" width="10.85546875" style="410" customWidth="1"/>
    <col min="3837" max="3837" width="52.7109375" style="410" customWidth="1"/>
    <col min="3838" max="3838" width="9.85546875" style="410" customWidth="1"/>
    <col min="3839" max="3839" width="5.7109375" style="410" customWidth="1"/>
    <col min="3840" max="3840" width="10.140625" style="410" customWidth="1"/>
    <col min="3841" max="3842" width="10.7109375" style="410" customWidth="1"/>
    <col min="3843" max="3843" width="10.5703125" style="410" customWidth="1"/>
    <col min="3844" max="4088" width="9.140625" style="410"/>
    <col min="4089" max="4089" width="4.7109375" style="410" customWidth="1"/>
    <col min="4090" max="4090" width="9.28515625" style="410" customWidth="1"/>
    <col min="4091" max="4091" width="9" style="410" customWidth="1"/>
    <col min="4092" max="4092" width="10.85546875" style="410" customWidth="1"/>
    <col min="4093" max="4093" width="52.7109375" style="410" customWidth="1"/>
    <col min="4094" max="4094" width="9.85546875" style="410" customWidth="1"/>
    <col min="4095" max="4095" width="5.7109375" style="410" customWidth="1"/>
    <col min="4096" max="4096" width="10.140625" style="410" customWidth="1"/>
    <col min="4097" max="4098" width="10.7109375" style="410" customWidth="1"/>
    <col min="4099" max="4099" width="10.5703125" style="410" customWidth="1"/>
    <col min="4100" max="4344" width="9.140625" style="410"/>
    <col min="4345" max="4345" width="4.7109375" style="410" customWidth="1"/>
    <col min="4346" max="4346" width="9.28515625" style="410" customWidth="1"/>
    <col min="4347" max="4347" width="9" style="410" customWidth="1"/>
    <col min="4348" max="4348" width="10.85546875" style="410" customWidth="1"/>
    <col min="4349" max="4349" width="52.7109375" style="410" customWidth="1"/>
    <col min="4350" max="4350" width="9.85546875" style="410" customWidth="1"/>
    <col min="4351" max="4351" width="5.7109375" style="410" customWidth="1"/>
    <col min="4352" max="4352" width="10.140625" style="410" customWidth="1"/>
    <col min="4353" max="4354" width="10.7109375" style="410" customWidth="1"/>
    <col min="4355" max="4355" width="10.5703125" style="410" customWidth="1"/>
    <col min="4356" max="4600" width="9.140625" style="410"/>
    <col min="4601" max="4601" width="4.7109375" style="410" customWidth="1"/>
    <col min="4602" max="4602" width="9.28515625" style="410" customWidth="1"/>
    <col min="4603" max="4603" width="9" style="410" customWidth="1"/>
    <col min="4604" max="4604" width="10.85546875" style="410" customWidth="1"/>
    <col min="4605" max="4605" width="52.7109375" style="410" customWidth="1"/>
    <col min="4606" max="4606" width="9.85546875" style="410" customWidth="1"/>
    <col min="4607" max="4607" width="5.7109375" style="410" customWidth="1"/>
    <col min="4608" max="4608" width="10.140625" style="410" customWidth="1"/>
    <col min="4609" max="4610" width="10.7109375" style="410" customWidth="1"/>
    <col min="4611" max="4611" width="10.5703125" style="410" customWidth="1"/>
    <col min="4612" max="4856" width="9.140625" style="410"/>
    <col min="4857" max="4857" width="4.7109375" style="410" customWidth="1"/>
    <col min="4858" max="4858" width="9.28515625" style="410" customWidth="1"/>
    <col min="4859" max="4859" width="9" style="410" customWidth="1"/>
    <col min="4860" max="4860" width="10.85546875" style="410" customWidth="1"/>
    <col min="4861" max="4861" width="52.7109375" style="410" customWidth="1"/>
    <col min="4862" max="4862" width="9.85546875" style="410" customWidth="1"/>
    <col min="4863" max="4863" width="5.7109375" style="410" customWidth="1"/>
    <col min="4864" max="4864" width="10.140625" style="410" customWidth="1"/>
    <col min="4865" max="4866" width="10.7109375" style="410" customWidth="1"/>
    <col min="4867" max="4867" width="10.5703125" style="410" customWidth="1"/>
    <col min="4868" max="5112" width="9.140625" style="410"/>
    <col min="5113" max="5113" width="4.7109375" style="410" customWidth="1"/>
    <col min="5114" max="5114" width="9.28515625" style="410" customWidth="1"/>
    <col min="5115" max="5115" width="9" style="410" customWidth="1"/>
    <col min="5116" max="5116" width="10.85546875" style="410" customWidth="1"/>
    <col min="5117" max="5117" width="52.7109375" style="410" customWidth="1"/>
    <col min="5118" max="5118" width="9.85546875" style="410" customWidth="1"/>
    <col min="5119" max="5119" width="5.7109375" style="410" customWidth="1"/>
    <col min="5120" max="5120" width="10.140625" style="410" customWidth="1"/>
    <col min="5121" max="5122" width="10.7109375" style="410" customWidth="1"/>
    <col min="5123" max="5123" width="10.5703125" style="410" customWidth="1"/>
    <col min="5124" max="5368" width="9.140625" style="410"/>
    <col min="5369" max="5369" width="4.7109375" style="410" customWidth="1"/>
    <col min="5370" max="5370" width="9.28515625" style="410" customWidth="1"/>
    <col min="5371" max="5371" width="9" style="410" customWidth="1"/>
    <col min="5372" max="5372" width="10.85546875" style="410" customWidth="1"/>
    <col min="5373" max="5373" width="52.7109375" style="410" customWidth="1"/>
    <col min="5374" max="5374" width="9.85546875" style="410" customWidth="1"/>
    <col min="5375" max="5375" width="5.7109375" style="410" customWidth="1"/>
    <col min="5376" max="5376" width="10.140625" style="410" customWidth="1"/>
    <col min="5377" max="5378" width="10.7109375" style="410" customWidth="1"/>
    <col min="5379" max="5379" width="10.5703125" style="410" customWidth="1"/>
    <col min="5380" max="5624" width="9.140625" style="410"/>
    <col min="5625" max="5625" width="4.7109375" style="410" customWidth="1"/>
    <col min="5626" max="5626" width="9.28515625" style="410" customWidth="1"/>
    <col min="5627" max="5627" width="9" style="410" customWidth="1"/>
    <col min="5628" max="5628" width="10.85546875" style="410" customWidth="1"/>
    <col min="5629" max="5629" width="52.7109375" style="410" customWidth="1"/>
    <col min="5630" max="5630" width="9.85546875" style="410" customWidth="1"/>
    <col min="5631" max="5631" width="5.7109375" style="410" customWidth="1"/>
    <col min="5632" max="5632" width="10.140625" style="410" customWidth="1"/>
    <col min="5633" max="5634" width="10.7109375" style="410" customWidth="1"/>
    <col min="5635" max="5635" width="10.5703125" style="410" customWidth="1"/>
    <col min="5636" max="5880" width="9.140625" style="410"/>
    <col min="5881" max="5881" width="4.7109375" style="410" customWidth="1"/>
    <col min="5882" max="5882" width="9.28515625" style="410" customWidth="1"/>
    <col min="5883" max="5883" width="9" style="410" customWidth="1"/>
    <col min="5884" max="5884" width="10.85546875" style="410" customWidth="1"/>
    <col min="5885" max="5885" width="52.7109375" style="410" customWidth="1"/>
    <col min="5886" max="5886" width="9.85546875" style="410" customWidth="1"/>
    <col min="5887" max="5887" width="5.7109375" style="410" customWidth="1"/>
    <col min="5888" max="5888" width="10.140625" style="410" customWidth="1"/>
    <col min="5889" max="5890" width="10.7109375" style="410" customWidth="1"/>
    <col min="5891" max="5891" width="10.5703125" style="410" customWidth="1"/>
    <col min="5892" max="6136" width="9.140625" style="410"/>
    <col min="6137" max="6137" width="4.7109375" style="410" customWidth="1"/>
    <col min="6138" max="6138" width="9.28515625" style="410" customWidth="1"/>
    <col min="6139" max="6139" width="9" style="410" customWidth="1"/>
    <col min="6140" max="6140" width="10.85546875" style="410" customWidth="1"/>
    <col min="6141" max="6141" width="52.7109375" style="410" customWidth="1"/>
    <col min="6142" max="6142" width="9.85546875" style="410" customWidth="1"/>
    <col min="6143" max="6143" width="5.7109375" style="410" customWidth="1"/>
    <col min="6144" max="6144" width="10.140625" style="410" customWidth="1"/>
    <col min="6145" max="6146" width="10.7109375" style="410" customWidth="1"/>
    <col min="6147" max="6147" width="10.5703125" style="410" customWidth="1"/>
    <col min="6148" max="6392" width="9.140625" style="410"/>
    <col min="6393" max="6393" width="4.7109375" style="410" customWidth="1"/>
    <col min="6394" max="6394" width="9.28515625" style="410" customWidth="1"/>
    <col min="6395" max="6395" width="9" style="410" customWidth="1"/>
    <col min="6396" max="6396" width="10.85546875" style="410" customWidth="1"/>
    <col min="6397" max="6397" width="52.7109375" style="410" customWidth="1"/>
    <col min="6398" max="6398" width="9.85546875" style="410" customWidth="1"/>
    <col min="6399" max="6399" width="5.7109375" style="410" customWidth="1"/>
    <col min="6400" max="6400" width="10.140625" style="410" customWidth="1"/>
    <col min="6401" max="6402" width="10.7109375" style="410" customWidth="1"/>
    <col min="6403" max="6403" width="10.5703125" style="410" customWidth="1"/>
    <col min="6404" max="6648" width="9.140625" style="410"/>
    <col min="6649" max="6649" width="4.7109375" style="410" customWidth="1"/>
    <col min="6650" max="6650" width="9.28515625" style="410" customWidth="1"/>
    <col min="6651" max="6651" width="9" style="410" customWidth="1"/>
    <col min="6652" max="6652" width="10.85546875" style="410" customWidth="1"/>
    <col min="6653" max="6653" width="52.7109375" style="410" customWidth="1"/>
    <col min="6654" max="6654" width="9.85546875" style="410" customWidth="1"/>
    <col min="6655" max="6655" width="5.7109375" style="410" customWidth="1"/>
    <col min="6656" max="6656" width="10.140625" style="410" customWidth="1"/>
    <col min="6657" max="6658" width="10.7109375" style="410" customWidth="1"/>
    <col min="6659" max="6659" width="10.5703125" style="410" customWidth="1"/>
    <col min="6660" max="6904" width="9.140625" style="410"/>
    <col min="6905" max="6905" width="4.7109375" style="410" customWidth="1"/>
    <col min="6906" max="6906" width="9.28515625" style="410" customWidth="1"/>
    <col min="6907" max="6907" width="9" style="410" customWidth="1"/>
    <col min="6908" max="6908" width="10.85546875" style="410" customWidth="1"/>
    <col min="6909" max="6909" width="52.7109375" style="410" customWidth="1"/>
    <col min="6910" max="6910" width="9.85546875" style="410" customWidth="1"/>
    <col min="6911" max="6911" width="5.7109375" style="410" customWidth="1"/>
    <col min="6912" max="6912" width="10.140625" style="410" customWidth="1"/>
    <col min="6913" max="6914" width="10.7109375" style="410" customWidth="1"/>
    <col min="6915" max="6915" width="10.5703125" style="410" customWidth="1"/>
    <col min="6916" max="7160" width="9.140625" style="410"/>
    <col min="7161" max="7161" width="4.7109375" style="410" customWidth="1"/>
    <col min="7162" max="7162" width="9.28515625" style="410" customWidth="1"/>
    <col min="7163" max="7163" width="9" style="410" customWidth="1"/>
    <col min="7164" max="7164" width="10.85546875" style="410" customWidth="1"/>
    <col min="7165" max="7165" width="52.7109375" style="410" customWidth="1"/>
    <col min="7166" max="7166" width="9.85546875" style="410" customWidth="1"/>
    <col min="7167" max="7167" width="5.7109375" style="410" customWidth="1"/>
    <col min="7168" max="7168" width="10.140625" style="410" customWidth="1"/>
    <col min="7169" max="7170" width="10.7109375" style="410" customWidth="1"/>
    <col min="7171" max="7171" width="10.5703125" style="410" customWidth="1"/>
    <col min="7172" max="7416" width="9.140625" style="410"/>
    <col min="7417" max="7417" width="4.7109375" style="410" customWidth="1"/>
    <col min="7418" max="7418" width="9.28515625" style="410" customWidth="1"/>
    <col min="7419" max="7419" width="9" style="410" customWidth="1"/>
    <col min="7420" max="7420" width="10.85546875" style="410" customWidth="1"/>
    <col min="7421" max="7421" width="52.7109375" style="410" customWidth="1"/>
    <col min="7422" max="7422" width="9.85546875" style="410" customWidth="1"/>
    <col min="7423" max="7423" width="5.7109375" style="410" customWidth="1"/>
    <col min="7424" max="7424" width="10.140625" style="410" customWidth="1"/>
    <col min="7425" max="7426" width="10.7109375" style="410" customWidth="1"/>
    <col min="7427" max="7427" width="10.5703125" style="410" customWidth="1"/>
    <col min="7428" max="7672" width="9.140625" style="410"/>
    <col min="7673" max="7673" width="4.7109375" style="410" customWidth="1"/>
    <col min="7674" max="7674" width="9.28515625" style="410" customWidth="1"/>
    <col min="7675" max="7675" width="9" style="410" customWidth="1"/>
    <col min="7676" max="7676" width="10.85546875" style="410" customWidth="1"/>
    <col min="7677" max="7677" width="52.7109375" style="410" customWidth="1"/>
    <col min="7678" max="7678" width="9.85546875" style="410" customWidth="1"/>
    <col min="7679" max="7679" width="5.7109375" style="410" customWidth="1"/>
    <col min="7680" max="7680" width="10.140625" style="410" customWidth="1"/>
    <col min="7681" max="7682" width="10.7109375" style="410" customWidth="1"/>
    <col min="7683" max="7683" width="10.5703125" style="410" customWidth="1"/>
    <col min="7684" max="7928" width="9.140625" style="410"/>
    <col min="7929" max="7929" width="4.7109375" style="410" customWidth="1"/>
    <col min="7930" max="7930" width="9.28515625" style="410" customWidth="1"/>
    <col min="7931" max="7931" width="9" style="410" customWidth="1"/>
    <col min="7932" max="7932" width="10.85546875" style="410" customWidth="1"/>
    <col min="7933" max="7933" width="52.7109375" style="410" customWidth="1"/>
    <col min="7934" max="7934" width="9.85546875" style="410" customWidth="1"/>
    <col min="7935" max="7935" width="5.7109375" style="410" customWidth="1"/>
    <col min="7936" max="7936" width="10.140625" style="410" customWidth="1"/>
    <col min="7937" max="7938" width="10.7109375" style="410" customWidth="1"/>
    <col min="7939" max="7939" width="10.5703125" style="410" customWidth="1"/>
    <col min="7940" max="8184" width="9.140625" style="410"/>
    <col min="8185" max="8185" width="4.7109375" style="410" customWidth="1"/>
    <col min="8186" max="8186" width="9.28515625" style="410" customWidth="1"/>
    <col min="8187" max="8187" width="9" style="410" customWidth="1"/>
    <col min="8188" max="8188" width="10.85546875" style="410" customWidth="1"/>
    <col min="8189" max="8189" width="52.7109375" style="410" customWidth="1"/>
    <col min="8190" max="8190" width="9.85546875" style="410" customWidth="1"/>
    <col min="8191" max="8191" width="5.7109375" style="410" customWidth="1"/>
    <col min="8192" max="8192" width="10.140625" style="410" customWidth="1"/>
    <col min="8193" max="8194" width="10.7109375" style="410" customWidth="1"/>
    <col min="8195" max="8195" width="10.5703125" style="410" customWidth="1"/>
    <col min="8196" max="8440" width="9.140625" style="410"/>
    <col min="8441" max="8441" width="4.7109375" style="410" customWidth="1"/>
    <col min="8442" max="8442" width="9.28515625" style="410" customWidth="1"/>
    <col min="8443" max="8443" width="9" style="410" customWidth="1"/>
    <col min="8444" max="8444" width="10.85546875" style="410" customWidth="1"/>
    <col min="8445" max="8445" width="52.7109375" style="410" customWidth="1"/>
    <col min="8446" max="8446" width="9.85546875" style="410" customWidth="1"/>
    <col min="8447" max="8447" width="5.7109375" style="410" customWidth="1"/>
    <col min="8448" max="8448" width="10.140625" style="410" customWidth="1"/>
    <col min="8449" max="8450" width="10.7109375" style="410" customWidth="1"/>
    <col min="8451" max="8451" width="10.5703125" style="410" customWidth="1"/>
    <col min="8452" max="8696" width="9.140625" style="410"/>
    <col min="8697" max="8697" width="4.7109375" style="410" customWidth="1"/>
    <col min="8698" max="8698" width="9.28515625" style="410" customWidth="1"/>
    <col min="8699" max="8699" width="9" style="410" customWidth="1"/>
    <col min="8700" max="8700" width="10.85546875" style="410" customWidth="1"/>
    <col min="8701" max="8701" width="52.7109375" style="410" customWidth="1"/>
    <col min="8702" max="8702" width="9.85546875" style="410" customWidth="1"/>
    <col min="8703" max="8703" width="5.7109375" style="410" customWidth="1"/>
    <col min="8704" max="8704" width="10.140625" style="410" customWidth="1"/>
    <col min="8705" max="8706" width="10.7109375" style="410" customWidth="1"/>
    <col min="8707" max="8707" width="10.5703125" style="410" customWidth="1"/>
    <col min="8708" max="8952" width="9.140625" style="410"/>
    <col min="8953" max="8953" width="4.7109375" style="410" customWidth="1"/>
    <col min="8954" max="8954" width="9.28515625" style="410" customWidth="1"/>
    <col min="8955" max="8955" width="9" style="410" customWidth="1"/>
    <col min="8956" max="8956" width="10.85546875" style="410" customWidth="1"/>
    <col min="8957" max="8957" width="52.7109375" style="410" customWidth="1"/>
    <col min="8958" max="8958" width="9.85546875" style="410" customWidth="1"/>
    <col min="8959" max="8959" width="5.7109375" style="410" customWidth="1"/>
    <col min="8960" max="8960" width="10.140625" style="410" customWidth="1"/>
    <col min="8961" max="8962" width="10.7109375" style="410" customWidth="1"/>
    <col min="8963" max="8963" width="10.5703125" style="410" customWidth="1"/>
    <col min="8964" max="9208" width="9.140625" style="410"/>
    <col min="9209" max="9209" width="4.7109375" style="410" customWidth="1"/>
    <col min="9210" max="9210" width="9.28515625" style="410" customWidth="1"/>
    <col min="9211" max="9211" width="9" style="410" customWidth="1"/>
    <col min="9212" max="9212" width="10.85546875" style="410" customWidth="1"/>
    <col min="9213" max="9213" width="52.7109375" style="410" customWidth="1"/>
    <col min="9214" max="9214" width="9.85546875" style="410" customWidth="1"/>
    <col min="9215" max="9215" width="5.7109375" style="410" customWidth="1"/>
    <col min="9216" max="9216" width="10.140625" style="410" customWidth="1"/>
    <col min="9217" max="9218" width="10.7109375" style="410" customWidth="1"/>
    <col min="9219" max="9219" width="10.5703125" style="410" customWidth="1"/>
    <col min="9220" max="9464" width="9.140625" style="410"/>
    <col min="9465" max="9465" width="4.7109375" style="410" customWidth="1"/>
    <col min="9466" max="9466" width="9.28515625" style="410" customWidth="1"/>
    <col min="9467" max="9467" width="9" style="410" customWidth="1"/>
    <col min="9468" max="9468" width="10.85546875" style="410" customWidth="1"/>
    <col min="9469" max="9469" width="52.7109375" style="410" customWidth="1"/>
    <col min="9470" max="9470" width="9.85546875" style="410" customWidth="1"/>
    <col min="9471" max="9471" width="5.7109375" style="410" customWidth="1"/>
    <col min="9472" max="9472" width="10.140625" style="410" customWidth="1"/>
    <col min="9473" max="9474" width="10.7109375" style="410" customWidth="1"/>
    <col min="9475" max="9475" width="10.5703125" style="410" customWidth="1"/>
    <col min="9476" max="9720" width="9.140625" style="410"/>
    <col min="9721" max="9721" width="4.7109375" style="410" customWidth="1"/>
    <col min="9722" max="9722" width="9.28515625" style="410" customWidth="1"/>
    <col min="9723" max="9723" width="9" style="410" customWidth="1"/>
    <col min="9724" max="9724" width="10.85546875" style="410" customWidth="1"/>
    <col min="9725" max="9725" width="52.7109375" style="410" customWidth="1"/>
    <col min="9726" max="9726" width="9.85546875" style="410" customWidth="1"/>
    <col min="9727" max="9727" width="5.7109375" style="410" customWidth="1"/>
    <col min="9728" max="9728" width="10.140625" style="410" customWidth="1"/>
    <col min="9729" max="9730" width="10.7109375" style="410" customWidth="1"/>
    <col min="9731" max="9731" width="10.5703125" style="410" customWidth="1"/>
    <col min="9732" max="9976" width="9.140625" style="410"/>
    <col min="9977" max="9977" width="4.7109375" style="410" customWidth="1"/>
    <col min="9978" max="9978" width="9.28515625" style="410" customWidth="1"/>
    <col min="9979" max="9979" width="9" style="410" customWidth="1"/>
    <col min="9980" max="9980" width="10.85546875" style="410" customWidth="1"/>
    <col min="9981" max="9981" width="52.7109375" style="410" customWidth="1"/>
    <col min="9982" max="9982" width="9.85546875" style="410" customWidth="1"/>
    <col min="9983" max="9983" width="5.7109375" style="410" customWidth="1"/>
    <col min="9984" max="9984" width="10.140625" style="410" customWidth="1"/>
    <col min="9985" max="9986" width="10.7109375" style="410" customWidth="1"/>
    <col min="9987" max="9987" width="10.5703125" style="410" customWidth="1"/>
    <col min="9988" max="10232" width="9.140625" style="410"/>
    <col min="10233" max="10233" width="4.7109375" style="410" customWidth="1"/>
    <col min="10234" max="10234" width="9.28515625" style="410" customWidth="1"/>
    <col min="10235" max="10235" width="9" style="410" customWidth="1"/>
    <col min="10236" max="10236" width="10.85546875" style="410" customWidth="1"/>
    <col min="10237" max="10237" width="52.7109375" style="410" customWidth="1"/>
    <col min="10238" max="10238" width="9.85546875" style="410" customWidth="1"/>
    <col min="10239" max="10239" width="5.7109375" style="410" customWidth="1"/>
    <col min="10240" max="10240" width="10.140625" style="410" customWidth="1"/>
    <col min="10241" max="10242" width="10.7109375" style="410" customWidth="1"/>
    <col min="10243" max="10243" width="10.5703125" style="410" customWidth="1"/>
    <col min="10244" max="10488" width="9.140625" style="410"/>
    <col min="10489" max="10489" width="4.7109375" style="410" customWidth="1"/>
    <col min="10490" max="10490" width="9.28515625" style="410" customWidth="1"/>
    <col min="10491" max="10491" width="9" style="410" customWidth="1"/>
    <col min="10492" max="10492" width="10.85546875" style="410" customWidth="1"/>
    <col min="10493" max="10493" width="52.7109375" style="410" customWidth="1"/>
    <col min="10494" max="10494" width="9.85546875" style="410" customWidth="1"/>
    <col min="10495" max="10495" width="5.7109375" style="410" customWidth="1"/>
    <col min="10496" max="10496" width="10.140625" style="410" customWidth="1"/>
    <col min="10497" max="10498" width="10.7109375" style="410" customWidth="1"/>
    <col min="10499" max="10499" width="10.5703125" style="410" customWidth="1"/>
    <col min="10500" max="10744" width="9.140625" style="410"/>
    <col min="10745" max="10745" width="4.7109375" style="410" customWidth="1"/>
    <col min="10746" max="10746" width="9.28515625" style="410" customWidth="1"/>
    <col min="10747" max="10747" width="9" style="410" customWidth="1"/>
    <col min="10748" max="10748" width="10.85546875" style="410" customWidth="1"/>
    <col min="10749" max="10749" width="52.7109375" style="410" customWidth="1"/>
    <col min="10750" max="10750" width="9.85546875" style="410" customWidth="1"/>
    <col min="10751" max="10751" width="5.7109375" style="410" customWidth="1"/>
    <col min="10752" max="10752" width="10.140625" style="410" customWidth="1"/>
    <col min="10753" max="10754" width="10.7109375" style="410" customWidth="1"/>
    <col min="10755" max="10755" width="10.5703125" style="410" customWidth="1"/>
    <col min="10756" max="11000" width="9.140625" style="410"/>
    <col min="11001" max="11001" width="4.7109375" style="410" customWidth="1"/>
    <col min="11002" max="11002" width="9.28515625" style="410" customWidth="1"/>
    <col min="11003" max="11003" width="9" style="410" customWidth="1"/>
    <col min="11004" max="11004" width="10.85546875" style="410" customWidth="1"/>
    <col min="11005" max="11005" width="52.7109375" style="410" customWidth="1"/>
    <col min="11006" max="11006" width="9.85546875" style="410" customWidth="1"/>
    <col min="11007" max="11007" width="5.7109375" style="410" customWidth="1"/>
    <col min="11008" max="11008" width="10.140625" style="410" customWidth="1"/>
    <col min="11009" max="11010" width="10.7109375" style="410" customWidth="1"/>
    <col min="11011" max="11011" width="10.5703125" style="410" customWidth="1"/>
    <col min="11012" max="11256" width="9.140625" style="410"/>
    <col min="11257" max="11257" width="4.7109375" style="410" customWidth="1"/>
    <col min="11258" max="11258" width="9.28515625" style="410" customWidth="1"/>
    <col min="11259" max="11259" width="9" style="410" customWidth="1"/>
    <col min="11260" max="11260" width="10.85546875" style="410" customWidth="1"/>
    <col min="11261" max="11261" width="52.7109375" style="410" customWidth="1"/>
    <col min="11262" max="11262" width="9.85546875" style="410" customWidth="1"/>
    <col min="11263" max="11263" width="5.7109375" style="410" customWidth="1"/>
    <col min="11264" max="11264" width="10.140625" style="410" customWidth="1"/>
    <col min="11265" max="11266" width="10.7109375" style="410" customWidth="1"/>
    <col min="11267" max="11267" width="10.5703125" style="410" customWidth="1"/>
    <col min="11268" max="11512" width="9.140625" style="410"/>
    <col min="11513" max="11513" width="4.7109375" style="410" customWidth="1"/>
    <col min="11514" max="11514" width="9.28515625" style="410" customWidth="1"/>
    <col min="11515" max="11515" width="9" style="410" customWidth="1"/>
    <col min="11516" max="11516" width="10.85546875" style="410" customWidth="1"/>
    <col min="11517" max="11517" width="52.7109375" style="410" customWidth="1"/>
    <col min="11518" max="11518" width="9.85546875" style="410" customWidth="1"/>
    <col min="11519" max="11519" width="5.7109375" style="410" customWidth="1"/>
    <col min="11520" max="11520" width="10.140625" style="410" customWidth="1"/>
    <col min="11521" max="11522" width="10.7109375" style="410" customWidth="1"/>
    <col min="11523" max="11523" width="10.5703125" style="410" customWidth="1"/>
    <col min="11524" max="11768" width="9.140625" style="410"/>
    <col min="11769" max="11769" width="4.7109375" style="410" customWidth="1"/>
    <col min="11770" max="11770" width="9.28515625" style="410" customWidth="1"/>
    <col min="11771" max="11771" width="9" style="410" customWidth="1"/>
    <col min="11772" max="11772" width="10.85546875" style="410" customWidth="1"/>
    <col min="11773" max="11773" width="52.7109375" style="410" customWidth="1"/>
    <col min="11774" max="11774" width="9.85546875" style="410" customWidth="1"/>
    <col min="11775" max="11775" width="5.7109375" style="410" customWidth="1"/>
    <col min="11776" max="11776" width="10.140625" style="410" customWidth="1"/>
    <col min="11777" max="11778" width="10.7109375" style="410" customWidth="1"/>
    <col min="11779" max="11779" width="10.5703125" style="410" customWidth="1"/>
    <col min="11780" max="12024" width="9.140625" style="410"/>
    <col min="12025" max="12025" width="4.7109375" style="410" customWidth="1"/>
    <col min="12026" max="12026" width="9.28515625" style="410" customWidth="1"/>
    <col min="12027" max="12027" width="9" style="410" customWidth="1"/>
    <col min="12028" max="12028" width="10.85546875" style="410" customWidth="1"/>
    <col min="12029" max="12029" width="52.7109375" style="410" customWidth="1"/>
    <col min="12030" max="12030" width="9.85546875" style="410" customWidth="1"/>
    <col min="12031" max="12031" width="5.7109375" style="410" customWidth="1"/>
    <col min="12032" max="12032" width="10.140625" style="410" customWidth="1"/>
    <col min="12033" max="12034" width="10.7109375" style="410" customWidth="1"/>
    <col min="12035" max="12035" width="10.5703125" style="410" customWidth="1"/>
    <col min="12036" max="12280" width="9.140625" style="410"/>
    <col min="12281" max="12281" width="4.7109375" style="410" customWidth="1"/>
    <col min="12282" max="12282" width="9.28515625" style="410" customWidth="1"/>
    <col min="12283" max="12283" width="9" style="410" customWidth="1"/>
    <col min="12284" max="12284" width="10.85546875" style="410" customWidth="1"/>
    <col min="12285" max="12285" width="52.7109375" style="410" customWidth="1"/>
    <col min="12286" max="12286" width="9.85546875" style="410" customWidth="1"/>
    <col min="12287" max="12287" width="5.7109375" style="410" customWidth="1"/>
    <col min="12288" max="12288" width="10.140625" style="410" customWidth="1"/>
    <col min="12289" max="12290" width="10.7109375" style="410" customWidth="1"/>
    <col min="12291" max="12291" width="10.5703125" style="410" customWidth="1"/>
    <col min="12292" max="12536" width="9.140625" style="410"/>
    <col min="12537" max="12537" width="4.7109375" style="410" customWidth="1"/>
    <col min="12538" max="12538" width="9.28515625" style="410" customWidth="1"/>
    <col min="12539" max="12539" width="9" style="410" customWidth="1"/>
    <col min="12540" max="12540" width="10.85546875" style="410" customWidth="1"/>
    <col min="12541" max="12541" width="52.7109375" style="410" customWidth="1"/>
    <col min="12542" max="12542" width="9.85546875" style="410" customWidth="1"/>
    <col min="12543" max="12543" width="5.7109375" style="410" customWidth="1"/>
    <col min="12544" max="12544" width="10.140625" style="410" customWidth="1"/>
    <col min="12545" max="12546" width="10.7109375" style="410" customWidth="1"/>
    <col min="12547" max="12547" width="10.5703125" style="410" customWidth="1"/>
    <col min="12548" max="12792" width="9.140625" style="410"/>
    <col min="12793" max="12793" width="4.7109375" style="410" customWidth="1"/>
    <col min="12794" max="12794" width="9.28515625" style="410" customWidth="1"/>
    <col min="12795" max="12795" width="9" style="410" customWidth="1"/>
    <col min="12796" max="12796" width="10.85546875" style="410" customWidth="1"/>
    <col min="12797" max="12797" width="52.7109375" style="410" customWidth="1"/>
    <col min="12798" max="12798" width="9.85546875" style="410" customWidth="1"/>
    <col min="12799" max="12799" width="5.7109375" style="410" customWidth="1"/>
    <col min="12800" max="12800" width="10.140625" style="410" customWidth="1"/>
    <col min="12801" max="12802" width="10.7109375" style="410" customWidth="1"/>
    <col min="12803" max="12803" width="10.5703125" style="410" customWidth="1"/>
    <col min="12804" max="13048" width="9.140625" style="410"/>
    <col min="13049" max="13049" width="4.7109375" style="410" customWidth="1"/>
    <col min="13050" max="13050" width="9.28515625" style="410" customWidth="1"/>
    <col min="13051" max="13051" width="9" style="410" customWidth="1"/>
    <col min="13052" max="13052" width="10.85546875" style="410" customWidth="1"/>
    <col min="13053" max="13053" width="52.7109375" style="410" customWidth="1"/>
    <col min="13054" max="13054" width="9.85546875" style="410" customWidth="1"/>
    <col min="13055" max="13055" width="5.7109375" style="410" customWidth="1"/>
    <col min="13056" max="13056" width="10.140625" style="410" customWidth="1"/>
    <col min="13057" max="13058" width="10.7109375" style="410" customWidth="1"/>
    <col min="13059" max="13059" width="10.5703125" style="410" customWidth="1"/>
    <col min="13060" max="13304" width="9.140625" style="410"/>
    <col min="13305" max="13305" width="4.7109375" style="410" customWidth="1"/>
    <col min="13306" max="13306" width="9.28515625" style="410" customWidth="1"/>
    <col min="13307" max="13307" width="9" style="410" customWidth="1"/>
    <col min="13308" max="13308" width="10.85546875" style="410" customWidth="1"/>
    <col min="13309" max="13309" width="52.7109375" style="410" customWidth="1"/>
    <col min="13310" max="13310" width="9.85546875" style="410" customWidth="1"/>
    <col min="13311" max="13311" width="5.7109375" style="410" customWidth="1"/>
    <col min="13312" max="13312" width="10.140625" style="410" customWidth="1"/>
    <col min="13313" max="13314" width="10.7109375" style="410" customWidth="1"/>
    <col min="13315" max="13315" width="10.5703125" style="410" customWidth="1"/>
    <col min="13316" max="13560" width="9.140625" style="410"/>
    <col min="13561" max="13561" width="4.7109375" style="410" customWidth="1"/>
    <col min="13562" max="13562" width="9.28515625" style="410" customWidth="1"/>
    <col min="13563" max="13563" width="9" style="410" customWidth="1"/>
    <col min="13564" max="13564" width="10.85546875" style="410" customWidth="1"/>
    <col min="13565" max="13565" width="52.7109375" style="410" customWidth="1"/>
    <col min="13566" max="13566" width="9.85546875" style="410" customWidth="1"/>
    <col min="13567" max="13567" width="5.7109375" style="410" customWidth="1"/>
    <col min="13568" max="13568" width="10.140625" style="410" customWidth="1"/>
    <col min="13569" max="13570" width="10.7109375" style="410" customWidth="1"/>
    <col min="13571" max="13571" width="10.5703125" style="410" customWidth="1"/>
    <col min="13572" max="13816" width="9.140625" style="410"/>
    <col min="13817" max="13817" width="4.7109375" style="410" customWidth="1"/>
    <col min="13818" max="13818" width="9.28515625" style="410" customWidth="1"/>
    <col min="13819" max="13819" width="9" style="410" customWidth="1"/>
    <col min="13820" max="13820" width="10.85546875" style="410" customWidth="1"/>
    <col min="13821" max="13821" width="52.7109375" style="410" customWidth="1"/>
    <col min="13822" max="13822" width="9.85546875" style="410" customWidth="1"/>
    <col min="13823" max="13823" width="5.7109375" style="410" customWidth="1"/>
    <col min="13824" max="13824" width="10.140625" style="410" customWidth="1"/>
    <col min="13825" max="13826" width="10.7109375" style="410" customWidth="1"/>
    <col min="13827" max="13827" width="10.5703125" style="410" customWidth="1"/>
    <col min="13828" max="14072" width="9.140625" style="410"/>
    <col min="14073" max="14073" width="4.7109375" style="410" customWidth="1"/>
    <col min="14074" max="14074" width="9.28515625" style="410" customWidth="1"/>
    <col min="14075" max="14075" width="9" style="410" customWidth="1"/>
    <col min="14076" max="14076" width="10.85546875" style="410" customWidth="1"/>
    <col min="14077" max="14077" width="52.7109375" style="410" customWidth="1"/>
    <col min="14078" max="14078" width="9.85546875" style="410" customWidth="1"/>
    <col min="14079" max="14079" width="5.7109375" style="410" customWidth="1"/>
    <col min="14080" max="14080" width="10.140625" style="410" customWidth="1"/>
    <col min="14081" max="14082" width="10.7109375" style="410" customWidth="1"/>
    <col min="14083" max="14083" width="10.5703125" style="410" customWidth="1"/>
    <col min="14084" max="14328" width="9.140625" style="410"/>
    <col min="14329" max="14329" width="4.7109375" style="410" customWidth="1"/>
    <col min="14330" max="14330" width="9.28515625" style="410" customWidth="1"/>
    <col min="14331" max="14331" width="9" style="410" customWidth="1"/>
    <col min="14332" max="14332" width="10.85546875" style="410" customWidth="1"/>
    <col min="14333" max="14333" width="52.7109375" style="410" customWidth="1"/>
    <col min="14334" max="14334" width="9.85546875" style="410" customWidth="1"/>
    <col min="14335" max="14335" width="5.7109375" style="410" customWidth="1"/>
    <col min="14336" max="14336" width="10.140625" style="410" customWidth="1"/>
    <col min="14337" max="14338" width="10.7109375" style="410" customWidth="1"/>
    <col min="14339" max="14339" width="10.5703125" style="410" customWidth="1"/>
    <col min="14340" max="14584" width="9.140625" style="410"/>
    <col min="14585" max="14585" width="4.7109375" style="410" customWidth="1"/>
    <col min="14586" max="14586" width="9.28515625" style="410" customWidth="1"/>
    <col min="14587" max="14587" width="9" style="410" customWidth="1"/>
    <col min="14588" max="14588" width="10.85546875" style="410" customWidth="1"/>
    <col min="14589" max="14589" width="52.7109375" style="410" customWidth="1"/>
    <col min="14590" max="14590" width="9.85546875" style="410" customWidth="1"/>
    <col min="14591" max="14591" width="5.7109375" style="410" customWidth="1"/>
    <col min="14592" max="14592" width="10.140625" style="410" customWidth="1"/>
    <col min="14593" max="14594" width="10.7109375" style="410" customWidth="1"/>
    <col min="14595" max="14595" width="10.5703125" style="410" customWidth="1"/>
    <col min="14596" max="14840" width="9.140625" style="410"/>
    <col min="14841" max="14841" width="4.7109375" style="410" customWidth="1"/>
    <col min="14842" max="14842" width="9.28515625" style="410" customWidth="1"/>
    <col min="14843" max="14843" width="9" style="410" customWidth="1"/>
    <col min="14844" max="14844" width="10.85546875" style="410" customWidth="1"/>
    <col min="14845" max="14845" width="52.7109375" style="410" customWidth="1"/>
    <col min="14846" max="14846" width="9.85546875" style="410" customWidth="1"/>
    <col min="14847" max="14847" width="5.7109375" style="410" customWidth="1"/>
    <col min="14848" max="14848" width="10.140625" style="410" customWidth="1"/>
    <col min="14849" max="14850" width="10.7109375" style="410" customWidth="1"/>
    <col min="14851" max="14851" width="10.5703125" style="410" customWidth="1"/>
    <col min="14852" max="15096" width="9.140625" style="410"/>
    <col min="15097" max="15097" width="4.7109375" style="410" customWidth="1"/>
    <col min="15098" max="15098" width="9.28515625" style="410" customWidth="1"/>
    <col min="15099" max="15099" width="9" style="410" customWidth="1"/>
    <col min="15100" max="15100" width="10.85546875" style="410" customWidth="1"/>
    <col min="15101" max="15101" width="52.7109375" style="410" customWidth="1"/>
    <col min="15102" max="15102" width="9.85546875" style="410" customWidth="1"/>
    <col min="15103" max="15103" width="5.7109375" style="410" customWidth="1"/>
    <col min="15104" max="15104" width="10.140625" style="410" customWidth="1"/>
    <col min="15105" max="15106" width="10.7109375" style="410" customWidth="1"/>
    <col min="15107" max="15107" width="10.5703125" style="410" customWidth="1"/>
    <col min="15108" max="15352" width="9.140625" style="410"/>
    <col min="15353" max="15353" width="4.7109375" style="410" customWidth="1"/>
    <col min="15354" max="15354" width="9.28515625" style="410" customWidth="1"/>
    <col min="15355" max="15355" width="9" style="410" customWidth="1"/>
    <col min="15356" max="15356" width="10.85546875" style="410" customWidth="1"/>
    <col min="15357" max="15357" width="52.7109375" style="410" customWidth="1"/>
    <col min="15358" max="15358" width="9.85546875" style="410" customWidth="1"/>
    <col min="15359" max="15359" width="5.7109375" style="410" customWidth="1"/>
    <col min="15360" max="15360" width="10.140625" style="410" customWidth="1"/>
    <col min="15361" max="15362" width="10.7109375" style="410" customWidth="1"/>
    <col min="15363" max="15363" width="10.5703125" style="410" customWidth="1"/>
    <col min="15364" max="15608" width="9.140625" style="410"/>
    <col min="15609" max="15609" width="4.7109375" style="410" customWidth="1"/>
    <col min="15610" max="15610" width="9.28515625" style="410" customWidth="1"/>
    <col min="15611" max="15611" width="9" style="410" customWidth="1"/>
    <col min="15612" max="15612" width="10.85546875" style="410" customWidth="1"/>
    <col min="15613" max="15613" width="52.7109375" style="410" customWidth="1"/>
    <col min="15614" max="15614" width="9.85546875" style="410" customWidth="1"/>
    <col min="15615" max="15615" width="5.7109375" style="410" customWidth="1"/>
    <col min="15616" max="15616" width="10.140625" style="410" customWidth="1"/>
    <col min="15617" max="15618" width="10.7109375" style="410" customWidth="1"/>
    <col min="15619" max="15619" width="10.5703125" style="410" customWidth="1"/>
    <col min="15620" max="15864" width="9.140625" style="410"/>
    <col min="15865" max="15865" width="4.7109375" style="410" customWidth="1"/>
    <col min="15866" max="15866" width="9.28515625" style="410" customWidth="1"/>
    <col min="15867" max="15867" width="9" style="410" customWidth="1"/>
    <col min="15868" max="15868" width="10.85546875" style="410" customWidth="1"/>
    <col min="15869" max="15869" width="52.7109375" style="410" customWidth="1"/>
    <col min="15870" max="15870" width="9.85546875" style="410" customWidth="1"/>
    <col min="15871" max="15871" width="5.7109375" style="410" customWidth="1"/>
    <col min="15872" max="15872" width="10.140625" style="410" customWidth="1"/>
    <col min="15873" max="15874" width="10.7109375" style="410" customWidth="1"/>
    <col min="15875" max="15875" width="10.5703125" style="410" customWidth="1"/>
    <col min="15876" max="16120" width="9.140625" style="410"/>
    <col min="16121" max="16121" width="4.7109375" style="410" customWidth="1"/>
    <col min="16122" max="16122" width="9.28515625" style="410" customWidth="1"/>
    <col min="16123" max="16123" width="9" style="410" customWidth="1"/>
    <col min="16124" max="16124" width="10.85546875" style="410" customWidth="1"/>
    <col min="16125" max="16125" width="52.7109375" style="410" customWidth="1"/>
    <col min="16126" max="16126" width="9.85546875" style="410" customWidth="1"/>
    <col min="16127" max="16127" width="5.7109375" style="410" customWidth="1"/>
    <col min="16128" max="16128" width="10.140625" style="410" customWidth="1"/>
    <col min="16129" max="16130" width="10.7109375" style="410" customWidth="1"/>
    <col min="16131" max="16131" width="10.5703125" style="410" customWidth="1"/>
    <col min="16132" max="16384" width="9.140625" style="410"/>
  </cols>
  <sheetData>
    <row r="1" spans="1:8">
      <c r="A1" s="406" t="s">
        <v>1</v>
      </c>
      <c r="B1" s="406"/>
      <c r="C1" s="407"/>
      <c r="D1" s="408"/>
      <c r="E1" s="409" t="s">
        <v>1736</v>
      </c>
      <c r="G1" s="499"/>
    </row>
    <row r="2" spans="1:8" ht="13.5" thickBot="1">
      <c r="A2" s="411" t="s">
        <v>2</v>
      </c>
      <c r="B2" s="406"/>
      <c r="C2" s="407"/>
      <c r="D2" s="408"/>
      <c r="E2" s="412">
        <v>2141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38"/>
      <c r="B6" s="441"/>
      <c r="C6" s="588"/>
      <c r="D6" s="434"/>
      <c r="E6" s="551"/>
      <c r="F6" s="598"/>
      <c r="G6" s="720"/>
      <c r="H6" s="721"/>
    </row>
    <row r="7" spans="1:8">
      <c r="A7" s="334">
        <f>MAX(A$1:A4)+1</f>
        <v>1</v>
      </c>
      <c r="B7" s="35" t="s">
        <v>501</v>
      </c>
      <c r="C7" s="35"/>
      <c r="D7" s="94"/>
      <c r="E7" s="50" t="s">
        <v>502</v>
      </c>
      <c r="F7" s="598"/>
      <c r="G7" s="720"/>
      <c r="H7" s="721"/>
    </row>
    <row r="8" spans="1:8">
      <c r="A8" s="438"/>
      <c r="B8" s="441"/>
      <c r="C8" s="588"/>
      <c r="D8" s="434"/>
      <c r="E8" s="551"/>
      <c r="F8" s="598"/>
      <c r="G8" s="720"/>
      <c r="H8" s="721"/>
    </row>
    <row r="9" spans="1:8">
      <c r="A9" s="438"/>
      <c r="B9" s="441"/>
      <c r="C9" s="195">
        <v>91030226</v>
      </c>
      <c r="D9" s="196"/>
      <c r="E9" s="38" t="s">
        <v>1737</v>
      </c>
      <c r="F9" s="39"/>
      <c r="G9" s="40" t="s">
        <v>33</v>
      </c>
      <c r="H9" s="722">
        <v>6</v>
      </c>
    </row>
    <row r="10" spans="1:8">
      <c r="A10" s="438"/>
      <c r="B10" s="441"/>
      <c r="C10" s="198"/>
      <c r="D10" s="199">
        <v>9103022605</v>
      </c>
      <c r="E10" s="71" t="s">
        <v>1738</v>
      </c>
      <c r="F10" s="61"/>
      <c r="G10" s="62" t="s">
        <v>33</v>
      </c>
      <c r="H10" s="723">
        <v>6</v>
      </c>
    </row>
    <row r="11" spans="1:8" ht="25.5">
      <c r="A11" s="438"/>
      <c r="B11" s="441"/>
      <c r="C11" s="198"/>
      <c r="D11" s="199"/>
      <c r="E11" s="65" t="s">
        <v>1739</v>
      </c>
      <c r="F11" s="724">
        <v>6</v>
      </c>
      <c r="G11" s="369"/>
      <c r="H11" s="721"/>
    </row>
    <row r="12" spans="1:8">
      <c r="A12" s="438"/>
      <c r="B12" s="441"/>
      <c r="C12" s="198"/>
      <c r="D12" s="199"/>
      <c r="E12" s="65"/>
      <c r="F12" s="724"/>
      <c r="G12" s="369"/>
      <c r="H12" s="721"/>
    </row>
    <row r="13" spans="1:8" ht="25.5">
      <c r="A13" s="334">
        <f>MAX(A$1:A10)+1</f>
        <v>2</v>
      </c>
      <c r="B13" s="441"/>
      <c r="C13" s="725">
        <v>91282401</v>
      </c>
      <c r="D13" s="196"/>
      <c r="E13" s="251" t="s">
        <v>1740</v>
      </c>
      <c r="F13" s="264"/>
      <c r="G13" s="286" t="s">
        <v>145</v>
      </c>
      <c r="H13" s="722">
        <v>24</v>
      </c>
    </row>
    <row r="14" spans="1:8">
      <c r="A14" s="438"/>
      <c r="B14" s="441"/>
      <c r="C14" s="344"/>
      <c r="D14" s="199"/>
      <c r="E14" s="77" t="s">
        <v>1741</v>
      </c>
      <c r="F14" s="212">
        <v>24</v>
      </c>
      <c r="G14" s="295"/>
      <c r="H14" s="723"/>
    </row>
    <row r="15" spans="1:8">
      <c r="A15" s="438"/>
      <c r="B15" s="441"/>
      <c r="C15" s="198"/>
      <c r="D15" s="199"/>
      <c r="E15" s="65"/>
      <c r="F15" s="724"/>
      <c r="G15" s="369"/>
      <c r="H15" s="721"/>
    </row>
    <row r="16" spans="1:8">
      <c r="A16" s="438"/>
      <c r="B16" s="441"/>
      <c r="C16" s="198"/>
      <c r="D16" s="199"/>
      <c r="E16" s="71"/>
      <c r="F16" s="61"/>
      <c r="G16" s="369"/>
      <c r="H16" s="721"/>
    </row>
    <row r="17" spans="1:8">
      <c r="A17" s="438"/>
      <c r="B17" s="24" t="s">
        <v>1742</v>
      </c>
      <c r="C17" s="588"/>
      <c r="D17" s="434"/>
      <c r="E17" s="726" t="s">
        <v>1743</v>
      </c>
      <c r="F17" s="598"/>
      <c r="G17" s="720"/>
      <c r="H17" s="721"/>
    </row>
    <row r="18" spans="1:8">
      <c r="A18" s="438"/>
      <c r="B18" s="441"/>
      <c r="C18" s="588"/>
      <c r="D18" s="434"/>
      <c r="E18" s="551"/>
      <c r="F18" s="598"/>
      <c r="G18" s="720"/>
      <c r="H18" s="721"/>
    </row>
    <row r="19" spans="1:8">
      <c r="A19" s="334">
        <f>MAX(A$1:A16)+1</f>
        <v>3</v>
      </c>
      <c r="B19" s="441"/>
      <c r="C19" s="588" t="s">
        <v>1744</v>
      </c>
      <c r="D19" s="434"/>
      <c r="E19" s="251" t="s">
        <v>1745</v>
      </c>
      <c r="F19" s="598"/>
      <c r="G19" s="286" t="s">
        <v>36</v>
      </c>
      <c r="H19" s="722">
        <v>12</v>
      </c>
    </row>
    <row r="20" spans="1:8" ht="12.75" customHeight="1">
      <c r="A20" s="438"/>
      <c r="B20" s="441"/>
      <c r="C20" s="588"/>
      <c r="D20" s="434" t="s">
        <v>1746</v>
      </c>
      <c r="E20" s="167" t="s">
        <v>1747</v>
      </c>
      <c r="F20" s="598"/>
      <c r="G20" s="295" t="s">
        <v>36</v>
      </c>
      <c r="H20" s="723">
        <v>12</v>
      </c>
    </row>
    <row r="21" spans="1:8">
      <c r="A21" s="438"/>
      <c r="B21" s="441"/>
      <c r="C21" s="588"/>
      <c r="D21" s="434"/>
      <c r="E21" s="727" t="s">
        <v>1748</v>
      </c>
      <c r="F21" s="724">
        <v>12</v>
      </c>
      <c r="G21" s="720"/>
      <c r="H21" s="721"/>
    </row>
    <row r="22" spans="1:8">
      <c r="A22" s="438"/>
      <c r="B22" s="441"/>
      <c r="C22" s="588"/>
      <c r="D22" s="434"/>
      <c r="E22" s="728"/>
      <c r="F22" s="598"/>
      <c r="G22" s="720"/>
      <c r="H22" s="721"/>
    </row>
    <row r="23" spans="1:8" ht="25.5">
      <c r="A23" s="290"/>
      <c r="B23" s="24" t="s">
        <v>1749</v>
      </c>
      <c r="C23" s="24"/>
      <c r="D23" s="24"/>
      <c r="E23" s="726" t="s">
        <v>1750</v>
      </c>
      <c r="F23" s="729"/>
      <c r="G23" s="295"/>
      <c r="H23" s="541"/>
    </row>
    <row r="24" spans="1:8">
      <c r="A24" s="290"/>
      <c r="B24" s="328"/>
      <c r="C24" s="198"/>
      <c r="D24" s="199"/>
      <c r="E24" s="360"/>
      <c r="F24" s="729"/>
      <c r="G24" s="295"/>
      <c r="H24" s="541"/>
    </row>
    <row r="25" spans="1:8">
      <c r="A25" s="334">
        <f>MAX(A$1:A22)+1</f>
        <v>4</v>
      </c>
      <c r="B25" s="328"/>
      <c r="C25" s="725" t="s">
        <v>1751</v>
      </c>
      <c r="D25" s="196"/>
      <c r="E25" s="251" t="s">
        <v>1752</v>
      </c>
      <c r="F25" s="127"/>
      <c r="G25" s="286" t="s">
        <v>33</v>
      </c>
      <c r="H25" s="722">
        <v>2</v>
      </c>
    </row>
    <row r="26" spans="1:8" ht="12.75" customHeight="1">
      <c r="A26" s="290"/>
      <c r="B26" s="328"/>
      <c r="C26" s="344"/>
      <c r="D26" s="199" t="s">
        <v>1753</v>
      </c>
      <c r="E26" s="167" t="s">
        <v>1754</v>
      </c>
      <c r="F26" s="564"/>
      <c r="G26" s="295" t="s">
        <v>33</v>
      </c>
      <c r="H26" s="723">
        <v>2</v>
      </c>
    </row>
    <row r="27" spans="1:8">
      <c r="A27" s="290"/>
      <c r="B27" s="328"/>
      <c r="C27" s="344"/>
      <c r="D27" s="199"/>
      <c r="E27" s="77" t="s">
        <v>1755</v>
      </c>
      <c r="F27" s="212">
        <v>1</v>
      </c>
      <c r="G27" s="295"/>
      <c r="H27" s="723"/>
    </row>
    <row r="28" spans="1:8">
      <c r="A28" s="438"/>
      <c r="B28" s="441"/>
      <c r="C28" s="588"/>
      <c r="D28" s="434"/>
      <c r="E28" s="77" t="s">
        <v>1756</v>
      </c>
      <c r="F28" s="213">
        <v>1</v>
      </c>
      <c r="G28" s="720"/>
      <c r="H28" s="721"/>
    </row>
    <row r="29" spans="1:8" customFormat="1" ht="12.75" customHeight="1">
      <c r="A29" s="290"/>
      <c r="B29" s="328"/>
      <c r="C29" s="331"/>
      <c r="D29" s="332"/>
      <c r="E29" s="330"/>
      <c r="F29" s="572">
        <f>SUM(F27:F28)</f>
        <v>2</v>
      </c>
      <c r="G29" s="523"/>
      <c r="H29" s="573"/>
    </row>
    <row r="30" spans="1:8" customFormat="1" ht="24.75" customHeight="1" thickBot="1">
      <c r="A30" s="459"/>
      <c r="B30" s="460"/>
      <c r="C30" s="391"/>
      <c r="D30" s="461"/>
      <c r="E30" s="730"/>
      <c r="F30" s="731"/>
      <c r="G30" s="525"/>
      <c r="H30" s="574"/>
    </row>
    <row r="31" spans="1:8" customFormat="1" ht="24.75" customHeight="1">
      <c r="A31" s="526"/>
      <c r="B31" s="527"/>
      <c r="C31" s="344"/>
      <c r="D31" s="519"/>
      <c r="E31" s="732"/>
      <c r="F31" s="733"/>
      <c r="G31" s="326"/>
      <c r="H31" s="528"/>
    </row>
  </sheetData>
  <sheetProtection algorithmName="SHA-512" hashValue="f3vk/qEHc4JMTehhDsBZDzrxpAvbQhm/fOP3dPG6ZgVnLgpMLaPO6JBDyMj7GPwl0GAeRMN0eFoRF7qvh53k+w==" saltValue="eRYZz5bvetAhS874Jpl/t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10594-BCC6-4082-A822-17A09320DA6F}">
  <sheetPr codeName="Hárok10"/>
  <dimension ref="A1:I263"/>
  <sheetViews>
    <sheetView showGridLines="0" workbookViewId="0">
      <selection activeCell="H3" sqref="H3:H4"/>
    </sheetView>
  </sheetViews>
  <sheetFormatPr defaultColWidth="11.7109375" defaultRowHeight="12.75"/>
  <cols>
    <col min="1" max="1" width="5" style="740" customWidth="1"/>
    <col min="2" max="2" width="8.42578125" style="740" customWidth="1"/>
    <col min="3" max="3" width="9.28515625" style="740" customWidth="1"/>
    <col min="4" max="4" width="11.42578125" style="740" customWidth="1"/>
    <col min="5" max="5" width="52.5703125" style="740" customWidth="1"/>
    <col min="6" max="6" width="9.5703125" style="737" customWidth="1"/>
    <col min="7" max="7" width="5.140625" style="740" customWidth="1"/>
    <col min="8" max="8" width="9.7109375" style="906" customWidth="1"/>
    <col min="9" max="16384" width="11.7109375" style="740"/>
  </cols>
  <sheetData>
    <row r="1" spans="1:9">
      <c r="A1" s="734" t="s">
        <v>1</v>
      </c>
      <c r="B1" s="734"/>
      <c r="C1" s="735"/>
      <c r="D1" s="736"/>
      <c r="E1" s="608" t="s">
        <v>1758</v>
      </c>
      <c r="G1" s="738"/>
      <c r="H1" s="739"/>
    </row>
    <row r="2" spans="1:9" ht="13.5" thickBot="1">
      <c r="A2" s="741" t="s">
        <v>2</v>
      </c>
      <c r="B2" s="734"/>
      <c r="C2" s="735"/>
      <c r="D2" s="736"/>
      <c r="E2" s="741">
        <v>1241</v>
      </c>
      <c r="G2" s="738"/>
      <c r="H2" s="742"/>
    </row>
    <row r="3" spans="1:9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9" ht="14.45" customHeight="1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9">
      <c r="A5" s="743"/>
      <c r="B5" s="744"/>
      <c r="C5" s="744"/>
      <c r="D5" s="745"/>
      <c r="E5" s="746"/>
      <c r="F5" s="747"/>
      <c r="G5" s="745"/>
      <c r="H5" s="748"/>
    </row>
    <row r="6" spans="1:9" s="757" customFormat="1">
      <c r="A6" s="749"/>
      <c r="B6" s="750" t="s">
        <v>11</v>
      </c>
      <c r="C6" s="751"/>
      <c r="D6" s="752"/>
      <c r="E6" s="27" t="s">
        <v>12</v>
      </c>
      <c r="F6" s="753"/>
      <c r="G6" s="754"/>
      <c r="H6" s="755"/>
      <c r="I6" s="756"/>
    </row>
    <row r="7" spans="1:9" s="757" customFormat="1">
      <c r="A7" s="749"/>
      <c r="B7" s="616"/>
      <c r="C7" s="751"/>
      <c r="D7" s="752"/>
      <c r="E7" s="758"/>
      <c r="F7" s="753"/>
      <c r="G7" s="754"/>
      <c r="H7" s="755"/>
      <c r="I7" s="756"/>
    </row>
    <row r="8" spans="1:9" s="757" customFormat="1" ht="25.5">
      <c r="A8" s="34">
        <f>MAX(A$1:A7)+1</f>
        <v>1</v>
      </c>
      <c r="B8" s="616"/>
      <c r="C8" s="617" t="s">
        <v>13</v>
      </c>
      <c r="D8" s="617"/>
      <c r="E8" s="759" t="s">
        <v>14</v>
      </c>
      <c r="F8" s="760"/>
      <c r="G8" s="614" t="s">
        <v>15</v>
      </c>
      <c r="H8" s="623">
        <v>9.6399999999999988</v>
      </c>
      <c r="I8" s="756"/>
    </row>
    <row r="9" spans="1:9" s="757" customFormat="1">
      <c r="A9" s="749"/>
      <c r="B9" s="616"/>
      <c r="C9" s="751"/>
      <c r="D9" s="761"/>
      <c r="E9" s="762" t="s">
        <v>1759</v>
      </c>
      <c r="F9" s="763">
        <f>F49</f>
        <v>9.6399999999999988</v>
      </c>
      <c r="G9" s="754"/>
      <c r="H9" s="755"/>
      <c r="I9" s="756"/>
    </row>
    <row r="10" spans="1:9" s="757" customFormat="1">
      <c r="A10" s="749"/>
      <c r="B10" s="616"/>
      <c r="C10" s="751"/>
      <c r="D10" s="752"/>
      <c r="E10" s="764"/>
      <c r="F10" s="672"/>
      <c r="G10" s="754"/>
      <c r="H10" s="755"/>
      <c r="I10" s="756"/>
    </row>
    <row r="11" spans="1:9" s="757" customFormat="1" ht="15.75">
      <c r="A11" s="609"/>
      <c r="B11" s="765" t="s">
        <v>19</v>
      </c>
      <c r="C11" s="766"/>
      <c r="D11" s="767"/>
      <c r="E11" s="768" t="s">
        <v>20</v>
      </c>
      <c r="F11" s="769"/>
      <c r="G11" s="673"/>
      <c r="H11" s="615"/>
      <c r="I11" s="770"/>
    </row>
    <row r="12" spans="1:9" s="757" customFormat="1" ht="15.75">
      <c r="A12" s="609"/>
      <c r="B12" s="771"/>
      <c r="C12" s="766"/>
      <c r="D12" s="767"/>
      <c r="E12" s="768"/>
      <c r="F12" s="769"/>
      <c r="G12" s="673"/>
      <c r="H12" s="615"/>
      <c r="I12" s="770"/>
    </row>
    <row r="13" spans="1:9" s="757" customFormat="1" ht="25.5">
      <c r="A13" s="34">
        <f>MAX(A$1:A12)+1</f>
        <v>2</v>
      </c>
      <c r="B13" s="616"/>
      <c r="C13" s="617" t="s">
        <v>69</v>
      </c>
      <c r="D13" s="617"/>
      <c r="E13" s="759" t="s">
        <v>70</v>
      </c>
      <c r="F13" s="760"/>
      <c r="G13" s="614" t="s">
        <v>18</v>
      </c>
      <c r="H13" s="623">
        <v>0.33</v>
      </c>
      <c r="I13" s="770"/>
    </row>
    <row r="14" spans="1:9" s="757" customFormat="1">
      <c r="A14" s="34"/>
      <c r="B14" s="616"/>
      <c r="C14" s="617"/>
      <c r="D14" s="617"/>
      <c r="E14" s="663" t="s">
        <v>1760</v>
      </c>
      <c r="F14" s="661"/>
      <c r="G14" s="614"/>
      <c r="H14" s="623"/>
      <c r="I14" s="770"/>
    </row>
    <row r="15" spans="1:9" s="757" customFormat="1">
      <c r="A15" s="34"/>
      <c r="B15" s="616"/>
      <c r="C15" s="617"/>
      <c r="D15" s="617"/>
      <c r="E15" s="663" t="s">
        <v>1761</v>
      </c>
      <c r="F15" s="662">
        <f>0.12*0.5*(1.4+1.23)</f>
        <v>0.1578</v>
      </c>
      <c r="G15" s="614"/>
      <c r="H15" s="623"/>
      <c r="I15" s="770"/>
    </row>
    <row r="16" spans="1:9" s="757" customFormat="1">
      <c r="A16" s="34"/>
      <c r="B16" s="616"/>
      <c r="C16" s="617"/>
      <c r="D16" s="617"/>
      <c r="E16" s="663" t="s">
        <v>1762</v>
      </c>
      <c r="F16" s="662">
        <f>0.12*0.31*3</f>
        <v>0.11159999999999999</v>
      </c>
      <c r="G16" s="614"/>
      <c r="H16" s="623"/>
      <c r="I16" s="770"/>
    </row>
    <row r="17" spans="1:9" s="757" customFormat="1">
      <c r="A17" s="34"/>
      <c r="B17" s="616"/>
      <c r="C17" s="617"/>
      <c r="D17" s="617"/>
      <c r="E17" s="629" t="s">
        <v>1763</v>
      </c>
      <c r="F17" s="630">
        <f>0.12*0.15*0.42</f>
        <v>7.559999999999999E-3</v>
      </c>
      <c r="G17" s="614"/>
      <c r="H17" s="623"/>
      <c r="I17" s="770"/>
    </row>
    <row r="18" spans="1:9" s="757" customFormat="1">
      <c r="A18" s="34"/>
      <c r="B18" s="616"/>
      <c r="C18" s="617"/>
      <c r="D18" s="617"/>
      <c r="E18" s="629" t="s">
        <v>1764</v>
      </c>
      <c r="F18" s="630">
        <f>0.12*0.15*(0.325+0.285+0.34+0.29)</f>
        <v>2.232E-2</v>
      </c>
      <c r="G18" s="614"/>
      <c r="H18" s="623"/>
      <c r="I18" s="770"/>
    </row>
    <row r="19" spans="1:9" s="757" customFormat="1">
      <c r="A19" s="34"/>
      <c r="B19" s="616"/>
      <c r="C19" s="617"/>
      <c r="D19" s="617"/>
      <c r="E19" s="629" t="s">
        <v>1765</v>
      </c>
      <c r="F19" s="631">
        <f>0.12*0.15*0.4*4</f>
        <v>2.8799999999999999E-2</v>
      </c>
      <c r="G19" s="614"/>
      <c r="H19" s="623"/>
      <c r="I19" s="770"/>
    </row>
    <row r="20" spans="1:9" s="757" customFormat="1">
      <c r="A20" s="609"/>
      <c r="B20" s="616"/>
      <c r="C20" s="617"/>
      <c r="D20" s="617"/>
      <c r="E20" s="772"/>
      <c r="F20" s="763">
        <f>SUM(F15:F19)</f>
        <v>0.32807999999999998</v>
      </c>
      <c r="G20" s="614"/>
      <c r="H20" s="623"/>
      <c r="I20" s="770"/>
    </row>
    <row r="21" spans="1:9" s="757" customFormat="1">
      <c r="A21" s="609"/>
      <c r="B21" s="616"/>
      <c r="C21" s="617"/>
      <c r="D21" s="617"/>
      <c r="E21" s="772"/>
      <c r="F21" s="763"/>
      <c r="G21" s="614"/>
      <c r="H21" s="623"/>
      <c r="I21" s="770"/>
    </row>
    <row r="22" spans="1:9" s="757" customFormat="1" ht="25.5">
      <c r="A22" s="34">
        <f>MAX(A$1:A21)+1</f>
        <v>3</v>
      </c>
      <c r="B22" s="327"/>
      <c r="C22" s="36" t="s">
        <v>113</v>
      </c>
      <c r="D22" s="37"/>
      <c r="E22" s="38" t="s">
        <v>114</v>
      </c>
      <c r="F22" s="123"/>
      <c r="G22" s="40" t="s">
        <v>33</v>
      </c>
      <c r="H22" s="556">
        <v>20</v>
      </c>
      <c r="I22" s="770"/>
    </row>
    <row r="23" spans="1:9" s="757" customFormat="1" ht="38.25">
      <c r="A23" s="34"/>
      <c r="B23" s="327"/>
      <c r="C23" s="36"/>
      <c r="D23" s="773" t="s">
        <v>1766</v>
      </c>
      <c r="E23" s="774" t="s">
        <v>1767</v>
      </c>
      <c r="F23" s="775"/>
      <c r="G23" s="776" t="s">
        <v>33</v>
      </c>
      <c r="H23" s="545">
        <v>2</v>
      </c>
      <c r="I23" s="770"/>
    </row>
    <row r="24" spans="1:9" s="757" customFormat="1" ht="25.5">
      <c r="A24" s="34"/>
      <c r="B24" s="327"/>
      <c r="C24" s="36"/>
      <c r="D24" s="773"/>
      <c r="E24" s="777" t="s">
        <v>1768</v>
      </c>
      <c r="F24" s="775"/>
      <c r="G24" s="776"/>
      <c r="H24" s="545"/>
      <c r="I24" s="770"/>
    </row>
    <row r="25" spans="1:9" s="757" customFormat="1" ht="25.5">
      <c r="A25" s="34"/>
      <c r="B25" s="327"/>
      <c r="C25" s="36"/>
      <c r="D25" s="431"/>
      <c r="E25" s="330" t="s">
        <v>1769</v>
      </c>
      <c r="F25" s="547">
        <v>1</v>
      </c>
      <c r="G25" s="512"/>
      <c r="H25" s="544"/>
      <c r="I25" s="770"/>
    </row>
    <row r="26" spans="1:9" s="757" customFormat="1">
      <c r="A26" s="34"/>
      <c r="B26" s="327"/>
      <c r="C26" s="36"/>
      <c r="D26" s="37"/>
      <c r="E26" s="38"/>
      <c r="F26" s="123"/>
      <c r="G26" s="40"/>
      <c r="H26" s="556"/>
      <c r="I26" s="770"/>
    </row>
    <row r="27" spans="1:9" s="757" customFormat="1">
      <c r="A27" s="34"/>
      <c r="B27" s="327"/>
      <c r="C27" s="36"/>
      <c r="D27" s="37"/>
      <c r="E27" s="778" t="s">
        <v>1770</v>
      </c>
      <c r="F27" s="123"/>
      <c r="G27" s="40"/>
      <c r="H27" s="556"/>
      <c r="I27" s="770"/>
    </row>
    <row r="28" spans="1:9" s="757" customFormat="1">
      <c r="A28" s="34"/>
      <c r="B28" s="327"/>
      <c r="C28" s="36"/>
      <c r="D28" s="37"/>
      <c r="E28" s="330" t="s">
        <v>1771</v>
      </c>
      <c r="F28" s="547">
        <v>1</v>
      </c>
      <c r="G28" s="40"/>
      <c r="H28" s="556"/>
      <c r="I28" s="770"/>
    </row>
    <row r="29" spans="1:9" s="757" customFormat="1" ht="38.25">
      <c r="A29" s="72"/>
      <c r="B29" s="329"/>
      <c r="C29" s="66"/>
      <c r="D29" s="773" t="s">
        <v>1772</v>
      </c>
      <c r="E29" s="774" t="s">
        <v>1773</v>
      </c>
      <c r="F29" s="775"/>
      <c r="G29" s="776" t="s">
        <v>33</v>
      </c>
      <c r="H29" s="545">
        <v>18</v>
      </c>
      <c r="I29" s="770"/>
    </row>
    <row r="30" spans="1:9" s="757" customFormat="1" ht="25.5">
      <c r="A30" s="72"/>
      <c r="B30" s="329"/>
      <c r="C30" s="66"/>
      <c r="D30" s="773"/>
      <c r="E30" s="777" t="s">
        <v>1768</v>
      </c>
      <c r="F30" s="775"/>
      <c r="G30" s="776"/>
      <c r="H30" s="545"/>
      <c r="I30" s="770"/>
    </row>
    <row r="31" spans="1:9" s="757" customFormat="1" ht="25.5">
      <c r="A31" s="72"/>
      <c r="B31" s="329"/>
      <c r="C31" s="66"/>
      <c r="D31" s="431"/>
      <c r="E31" s="330" t="s">
        <v>1774</v>
      </c>
      <c r="F31" s="547">
        <v>17</v>
      </c>
      <c r="G31" s="512"/>
      <c r="H31" s="544"/>
      <c r="I31" s="770"/>
    </row>
    <row r="32" spans="1:9" s="757" customFormat="1">
      <c r="A32" s="34"/>
      <c r="B32" s="329"/>
      <c r="C32" s="599"/>
      <c r="D32" s="599"/>
      <c r="E32" s="496"/>
      <c r="F32" s="779"/>
      <c r="G32" s="780"/>
      <c r="H32" s="540"/>
      <c r="I32" s="770"/>
    </row>
    <row r="33" spans="1:9" s="757" customFormat="1">
      <c r="A33" s="609"/>
      <c r="B33" s="616"/>
      <c r="C33" s="617"/>
      <c r="D33" s="617"/>
      <c r="E33" s="778" t="s">
        <v>1770</v>
      </c>
      <c r="F33" s="763"/>
      <c r="G33" s="614"/>
      <c r="H33" s="623"/>
      <c r="I33" s="770"/>
    </row>
    <row r="34" spans="1:9" s="757" customFormat="1">
      <c r="A34" s="609"/>
      <c r="B34" s="616"/>
      <c r="C34" s="617"/>
      <c r="D34" s="617"/>
      <c r="E34" s="330" t="s">
        <v>1775</v>
      </c>
      <c r="F34" s="547">
        <v>1</v>
      </c>
      <c r="G34" s="614"/>
      <c r="H34" s="623"/>
      <c r="I34" s="770"/>
    </row>
    <row r="35" spans="1:9" s="757" customFormat="1">
      <c r="A35" s="609"/>
      <c r="B35" s="616"/>
      <c r="C35" s="617"/>
      <c r="D35" s="617"/>
      <c r="E35" s="772"/>
      <c r="F35" s="763"/>
      <c r="G35" s="614"/>
      <c r="H35" s="623"/>
      <c r="I35" s="770"/>
    </row>
    <row r="36" spans="1:9" s="757" customFormat="1">
      <c r="A36" s="34">
        <f>MAX(A$1:A35)+1</f>
        <v>4</v>
      </c>
      <c r="B36" s="616"/>
      <c r="C36" s="36" t="s">
        <v>1776</v>
      </c>
      <c r="D36" s="37"/>
      <c r="E36" s="38" t="s">
        <v>1777</v>
      </c>
      <c r="F36" s="39"/>
      <c r="G36" s="40" t="s">
        <v>15</v>
      </c>
      <c r="H36" s="623">
        <v>0.79</v>
      </c>
      <c r="I36" s="770"/>
    </row>
    <row r="37" spans="1:9" s="757" customFormat="1" ht="16.899999999999999" customHeight="1">
      <c r="A37" s="609"/>
      <c r="B37" s="616"/>
      <c r="C37" s="66"/>
      <c r="D37" s="67" t="s">
        <v>1778</v>
      </c>
      <c r="E37" s="71" t="s">
        <v>1779</v>
      </c>
      <c r="F37" s="61"/>
      <c r="G37" s="62" t="s">
        <v>15</v>
      </c>
      <c r="H37" s="615">
        <v>0.79</v>
      </c>
      <c r="I37" s="770"/>
    </row>
    <row r="38" spans="1:9" s="757" customFormat="1" ht="15.75">
      <c r="A38" s="609"/>
      <c r="B38" s="616"/>
      <c r="C38" s="669"/>
      <c r="D38" s="670"/>
      <c r="E38" s="663" t="s">
        <v>1780</v>
      </c>
      <c r="F38" s="662">
        <f>2.4*0.33</f>
        <v>0.79200000000000004</v>
      </c>
      <c r="G38" s="673"/>
      <c r="H38" s="615"/>
      <c r="I38" s="770"/>
    </row>
    <row r="39" spans="1:9" s="757" customFormat="1" ht="15.75">
      <c r="A39" s="609"/>
      <c r="B39" s="616"/>
      <c r="C39" s="669"/>
      <c r="D39" s="670"/>
      <c r="E39" s="618"/>
      <c r="F39" s="672"/>
      <c r="G39" s="673"/>
      <c r="H39" s="615"/>
      <c r="I39" s="770"/>
    </row>
    <row r="40" spans="1:9" s="757" customFormat="1">
      <c r="A40" s="34">
        <f>MAX(A$1:A39)+1</f>
        <v>5</v>
      </c>
      <c r="B40" s="616"/>
      <c r="C40" s="617" t="s">
        <v>37</v>
      </c>
      <c r="D40" s="617"/>
      <c r="E40" s="759" t="s">
        <v>38</v>
      </c>
      <c r="F40" s="760"/>
      <c r="G40" s="614" t="s">
        <v>15</v>
      </c>
      <c r="H40" s="623">
        <v>9.6399999999999988</v>
      </c>
      <c r="I40" s="781"/>
    </row>
    <row r="41" spans="1:9" s="757" customFormat="1">
      <c r="A41" s="609"/>
      <c r="B41" s="616"/>
      <c r="C41" s="646"/>
      <c r="D41" s="646" t="s">
        <v>39</v>
      </c>
      <c r="E41" s="782" t="s">
        <v>40</v>
      </c>
      <c r="F41" s="647"/>
      <c r="G41" s="649" t="s">
        <v>15</v>
      </c>
      <c r="H41" s="615">
        <v>9.6399999999999988</v>
      </c>
      <c r="I41" s="770"/>
    </row>
    <row r="42" spans="1:9" s="757" customFormat="1">
      <c r="A42" s="609"/>
      <c r="B42" s="616"/>
      <c r="C42" s="646"/>
      <c r="D42" s="646"/>
      <c r="E42" s="663" t="s">
        <v>1781</v>
      </c>
      <c r="F42" s="662">
        <v>0.79</v>
      </c>
      <c r="G42" s="649"/>
      <c r="H42" s="615"/>
      <c r="I42" s="770"/>
    </row>
    <row r="43" spans="1:9" s="757" customFormat="1">
      <c r="A43" s="609"/>
      <c r="B43" s="616"/>
      <c r="C43" s="646"/>
      <c r="D43" s="646"/>
      <c r="E43" s="663"/>
      <c r="F43" s="662"/>
      <c r="G43" s="649"/>
      <c r="H43" s="615"/>
      <c r="I43" s="770"/>
    </row>
    <row r="44" spans="1:9" s="757" customFormat="1" ht="25.5">
      <c r="A44" s="609"/>
      <c r="B44" s="616"/>
      <c r="C44" s="646"/>
      <c r="D44" s="646"/>
      <c r="E44" s="777" t="s">
        <v>1768</v>
      </c>
      <c r="F44" s="662"/>
      <c r="G44" s="649"/>
      <c r="H44" s="615"/>
      <c r="I44" s="770"/>
    </row>
    <row r="45" spans="1:9" s="757" customFormat="1">
      <c r="A45" s="609"/>
      <c r="B45" s="616"/>
      <c r="C45" s="646"/>
      <c r="D45" s="646"/>
      <c r="E45" s="783" t="s">
        <v>71</v>
      </c>
      <c r="F45" s="662">
        <v>8.5</v>
      </c>
      <c r="G45" s="649"/>
      <c r="H45" s="615"/>
      <c r="I45" s="770"/>
    </row>
    <row r="46" spans="1:9" s="757" customFormat="1">
      <c r="A46" s="609"/>
      <c r="B46" s="616"/>
      <c r="C46" s="646"/>
      <c r="D46" s="646"/>
      <c r="E46" s="777"/>
      <c r="F46" s="662"/>
      <c r="G46" s="649"/>
      <c r="H46" s="615"/>
      <c r="I46" s="770"/>
    </row>
    <row r="47" spans="1:9" s="757" customFormat="1">
      <c r="A47" s="609"/>
      <c r="B47" s="616"/>
      <c r="C47" s="646"/>
      <c r="D47" s="646"/>
      <c r="E47" s="778" t="s">
        <v>1770</v>
      </c>
      <c r="F47" s="662"/>
      <c r="G47" s="649"/>
      <c r="H47" s="615"/>
      <c r="I47" s="770"/>
    </row>
    <row r="48" spans="1:9" s="757" customFormat="1">
      <c r="A48" s="609"/>
      <c r="B48" s="616"/>
      <c r="C48" s="646"/>
      <c r="D48" s="646"/>
      <c r="E48" s="65" t="s">
        <v>71</v>
      </c>
      <c r="F48" s="46">
        <v>0.35</v>
      </c>
      <c r="G48" s="649"/>
      <c r="H48" s="615"/>
      <c r="I48" s="770"/>
    </row>
    <row r="49" spans="1:9" s="757" customFormat="1">
      <c r="A49" s="609"/>
      <c r="B49" s="616"/>
      <c r="C49" s="646"/>
      <c r="D49" s="646"/>
      <c r="E49" s="91" t="s">
        <v>41</v>
      </c>
      <c r="F49" s="123">
        <f>F42+F45+F48</f>
        <v>9.6399999999999988</v>
      </c>
      <c r="G49" s="649"/>
      <c r="H49" s="615"/>
      <c r="I49" s="770"/>
    </row>
    <row r="50" spans="1:9" s="757" customFormat="1">
      <c r="A50" s="609"/>
      <c r="B50" s="616"/>
      <c r="C50" s="646"/>
      <c r="D50" s="646"/>
      <c r="E50" s="782"/>
      <c r="F50" s="648"/>
      <c r="G50" s="649"/>
      <c r="H50" s="615"/>
      <c r="I50" s="770"/>
    </row>
    <row r="51" spans="1:9" s="757" customFormat="1">
      <c r="A51" s="34">
        <f>MAX(A$1:A50)+1</f>
        <v>6</v>
      </c>
      <c r="B51" s="616"/>
      <c r="C51" s="617" t="s">
        <v>1782</v>
      </c>
      <c r="D51" s="617"/>
      <c r="E51" s="759" t="s">
        <v>1783</v>
      </c>
      <c r="F51" s="784"/>
      <c r="G51" s="614" t="s">
        <v>15</v>
      </c>
      <c r="H51" s="623">
        <v>0.79</v>
      </c>
      <c r="I51" s="770"/>
    </row>
    <row r="52" spans="1:9" s="757" customFormat="1" ht="19.899999999999999" customHeight="1">
      <c r="A52" s="609"/>
      <c r="B52" s="616"/>
      <c r="C52" s="646"/>
      <c r="D52" s="646" t="s">
        <v>1784</v>
      </c>
      <c r="E52" s="782" t="s">
        <v>1785</v>
      </c>
      <c r="F52" s="648"/>
      <c r="G52" s="649" t="s">
        <v>15</v>
      </c>
      <c r="H52" s="615">
        <v>0.79</v>
      </c>
      <c r="I52" s="770"/>
    </row>
    <row r="53" spans="1:9" s="757" customFormat="1">
      <c r="A53" s="609"/>
      <c r="B53" s="616"/>
      <c r="C53" s="646"/>
      <c r="D53" s="646"/>
      <c r="E53" s="663" t="s">
        <v>1780</v>
      </c>
      <c r="F53" s="662">
        <f>2.4*0.33</f>
        <v>0.79200000000000004</v>
      </c>
      <c r="G53" s="649"/>
      <c r="H53" s="615"/>
      <c r="I53" s="770"/>
    </row>
    <row r="54" spans="1:9" s="757" customFormat="1">
      <c r="A54" s="609"/>
      <c r="B54" s="616"/>
      <c r="C54" s="646"/>
      <c r="D54" s="646"/>
      <c r="E54" s="618"/>
      <c r="F54" s="613"/>
      <c r="G54" s="649"/>
      <c r="H54" s="615"/>
      <c r="I54" s="770"/>
    </row>
    <row r="55" spans="1:9" s="757" customFormat="1" ht="25.5">
      <c r="A55" s="34">
        <f>MAX(A$1:A54)+1</f>
        <v>7</v>
      </c>
      <c r="B55" s="616"/>
      <c r="C55" s="617" t="s">
        <v>1786</v>
      </c>
      <c r="D55" s="617"/>
      <c r="E55" s="759" t="s">
        <v>1787</v>
      </c>
      <c r="F55" s="760"/>
      <c r="G55" s="614" t="s">
        <v>36</v>
      </c>
      <c r="H55" s="623">
        <v>23.1</v>
      </c>
      <c r="I55" s="770"/>
    </row>
    <row r="56" spans="1:9" s="757" customFormat="1">
      <c r="A56" s="609"/>
      <c r="B56" s="616"/>
      <c r="C56" s="617"/>
      <c r="D56" s="646"/>
      <c r="E56" s="663" t="s">
        <v>1760</v>
      </c>
      <c r="F56" s="661"/>
      <c r="G56" s="649"/>
      <c r="H56" s="615"/>
      <c r="I56" s="770"/>
    </row>
    <row r="57" spans="1:9" s="757" customFormat="1" ht="16.899999999999999" customHeight="1">
      <c r="A57" s="609"/>
      <c r="B57" s="616"/>
      <c r="C57" s="617"/>
      <c r="D57" s="646"/>
      <c r="E57" s="663" t="s">
        <v>1788</v>
      </c>
      <c r="F57" s="785">
        <f>0.5*2*2+1.4*2+1.23*2</f>
        <v>7.26</v>
      </c>
      <c r="G57" s="786"/>
      <c r="H57" s="615"/>
      <c r="I57" s="770"/>
    </row>
    <row r="58" spans="1:9" s="757" customFormat="1" ht="16.899999999999999" customHeight="1">
      <c r="A58" s="609"/>
      <c r="B58" s="616"/>
      <c r="C58" s="617"/>
      <c r="D58" s="646"/>
      <c r="E58" s="663" t="s">
        <v>1789</v>
      </c>
      <c r="F58" s="785">
        <f>0.31*2+3*2</f>
        <v>6.62</v>
      </c>
      <c r="G58" s="786"/>
      <c r="H58" s="615"/>
      <c r="I58" s="770"/>
    </row>
    <row r="59" spans="1:9" s="757" customFormat="1" ht="25.5">
      <c r="A59" s="609"/>
      <c r="B59" s="616"/>
      <c r="C59" s="617"/>
      <c r="D59" s="617"/>
      <c r="E59" s="629" t="s">
        <v>1790</v>
      </c>
      <c r="F59" s="787">
        <f>0.15*2+0.42*2+0.15*2*8+0.325*2+0.285*2+0.34*2+0.29*2+0.4*2*4</f>
        <v>9.2200000000000006</v>
      </c>
      <c r="G59" s="788"/>
      <c r="H59" s="615"/>
      <c r="I59" s="770"/>
    </row>
    <row r="60" spans="1:9" s="757" customFormat="1" ht="18" customHeight="1">
      <c r="A60" s="609"/>
      <c r="B60" s="616"/>
      <c r="C60" s="617"/>
      <c r="D60" s="617"/>
      <c r="E60" s="772"/>
      <c r="F60" s="789">
        <f>SUM(F57:F59)</f>
        <v>23.1</v>
      </c>
      <c r="G60" s="788"/>
      <c r="H60" s="615"/>
      <c r="I60" s="770"/>
    </row>
    <row r="61" spans="1:9" s="757" customFormat="1">
      <c r="A61" s="609"/>
      <c r="B61" s="616"/>
      <c r="C61" s="617"/>
      <c r="D61" s="617"/>
      <c r="E61" s="668"/>
      <c r="F61" s="668"/>
      <c r="G61" s="614"/>
      <c r="H61" s="615"/>
      <c r="I61" s="770"/>
    </row>
    <row r="62" spans="1:9" s="757" customFormat="1">
      <c r="A62" s="609"/>
      <c r="B62" s="790" t="s">
        <v>1791</v>
      </c>
      <c r="C62" s="790"/>
      <c r="D62" s="791"/>
      <c r="E62" s="768" t="s">
        <v>1792</v>
      </c>
      <c r="F62" s="668"/>
      <c r="G62" s="614"/>
      <c r="H62" s="615"/>
      <c r="I62" s="770"/>
    </row>
    <row r="63" spans="1:9" s="757" customFormat="1" ht="15.75">
      <c r="A63" s="609"/>
      <c r="B63" s="616"/>
      <c r="C63" s="669"/>
      <c r="D63" s="670"/>
      <c r="E63" s="671"/>
      <c r="F63" s="672"/>
      <c r="G63" s="673"/>
      <c r="H63" s="615"/>
      <c r="I63" s="770"/>
    </row>
    <row r="64" spans="1:9" s="757" customFormat="1" ht="25.5">
      <c r="A64" s="34">
        <f>MAX(A$1:A63)+1</f>
        <v>8</v>
      </c>
      <c r="B64" s="616"/>
      <c r="C64" s="617" t="s">
        <v>1793</v>
      </c>
      <c r="D64" s="617"/>
      <c r="E64" s="760" t="s">
        <v>1794</v>
      </c>
      <c r="F64" s="760"/>
      <c r="G64" s="614" t="s">
        <v>18</v>
      </c>
      <c r="H64" s="623">
        <v>0.72</v>
      </c>
      <c r="I64" s="770"/>
    </row>
    <row r="65" spans="1:9" s="757" customFormat="1" ht="25.5">
      <c r="A65" s="609"/>
      <c r="B65" s="616"/>
      <c r="C65" s="617"/>
      <c r="D65" s="674" t="s">
        <v>1795</v>
      </c>
      <c r="E65" s="675" t="s">
        <v>1796</v>
      </c>
      <c r="F65" s="675"/>
      <c r="G65" s="676" t="s">
        <v>18</v>
      </c>
      <c r="H65" s="615">
        <v>0.72</v>
      </c>
      <c r="I65" s="770"/>
    </row>
    <row r="66" spans="1:9" s="757" customFormat="1">
      <c r="A66" s="609"/>
      <c r="B66" s="616"/>
      <c r="C66" s="617"/>
      <c r="D66" s="674"/>
      <c r="E66" s="792" t="s">
        <v>1797</v>
      </c>
      <c r="F66" s="792"/>
      <c r="G66" s="676"/>
      <c r="H66" s="615"/>
      <c r="I66" s="770"/>
    </row>
    <row r="67" spans="1:9" s="757" customFormat="1">
      <c r="A67" s="609"/>
      <c r="B67" s="616"/>
      <c r="C67" s="617"/>
      <c r="D67" s="674"/>
      <c r="E67" s="792" t="s">
        <v>1798</v>
      </c>
      <c r="F67" s="793">
        <f>0.12*0.35*(0.6+1.43+1.24+1.24)</f>
        <v>0.18941999999999998</v>
      </c>
      <c r="G67" s="676"/>
      <c r="H67" s="615"/>
      <c r="I67" s="770"/>
    </row>
    <row r="68" spans="1:9" s="757" customFormat="1" ht="25.5">
      <c r="A68" s="609"/>
      <c r="B68" s="616"/>
      <c r="C68" s="617"/>
      <c r="D68" s="674"/>
      <c r="E68" s="792" t="s">
        <v>1799</v>
      </c>
      <c r="F68" s="793">
        <f>0.12*0.35*(1.24+1.44+1.24)-0.12*0.17*(0.4*3+0.34+0.39+0.3+0.25)</f>
        <v>0.11404799999999998</v>
      </c>
      <c r="G68" s="676"/>
      <c r="H68" s="615"/>
      <c r="I68" s="770"/>
    </row>
    <row r="69" spans="1:9" s="757" customFormat="1">
      <c r="A69" s="609"/>
      <c r="B69" s="616"/>
      <c r="C69" s="617"/>
      <c r="D69" s="674"/>
      <c r="E69" s="792" t="s">
        <v>1800</v>
      </c>
      <c r="F69" s="793">
        <f>0.12*0.5*(1.4+1.23)-0.12*0.15*1.02*4</f>
        <v>8.4360000000000004E-2</v>
      </c>
      <c r="G69" s="676"/>
      <c r="H69" s="615"/>
      <c r="I69" s="770"/>
    </row>
    <row r="70" spans="1:9" s="757" customFormat="1" ht="25.5">
      <c r="A70" s="609"/>
      <c r="B70" s="616"/>
      <c r="C70" s="617"/>
      <c r="D70" s="674"/>
      <c r="E70" s="629" t="s">
        <v>1801</v>
      </c>
      <c r="F70" s="794">
        <f>0.12*(0.38*0.42+0.43*0.49+0.36*0.36+0.43*0.49+0.68*0.36+0.15*0.56+0.36*0.45+0.14*1.2+0.4*0.4)</f>
        <v>0.18352799999999997</v>
      </c>
      <c r="G70" s="676"/>
      <c r="H70" s="623"/>
      <c r="I70" s="770"/>
    </row>
    <row r="71" spans="1:9" s="757" customFormat="1">
      <c r="A71" s="609"/>
      <c r="B71" s="616"/>
      <c r="C71" s="617"/>
      <c r="D71" s="674"/>
      <c r="E71" s="629" t="s">
        <v>1802</v>
      </c>
      <c r="F71" s="795">
        <f>0.12*0.31*3+0.12*0.15*(0.35+0.4*4)</f>
        <v>0.1467</v>
      </c>
      <c r="G71" s="676"/>
      <c r="H71" s="623"/>
      <c r="I71" s="770"/>
    </row>
    <row r="72" spans="1:9" s="757" customFormat="1">
      <c r="A72" s="609"/>
      <c r="B72" s="616"/>
      <c r="C72" s="617"/>
      <c r="D72" s="674"/>
      <c r="E72" s="772"/>
      <c r="F72" s="796">
        <f>SUM(F67:F71)</f>
        <v>0.71805600000000003</v>
      </c>
      <c r="G72" s="676"/>
      <c r="H72" s="623"/>
      <c r="I72" s="770"/>
    </row>
    <row r="73" spans="1:9" s="757" customFormat="1">
      <c r="A73" s="609"/>
      <c r="B73" s="616"/>
      <c r="C73" s="617"/>
      <c r="D73" s="617"/>
      <c r="E73" s="668"/>
      <c r="F73" s="668"/>
      <c r="G73" s="614"/>
      <c r="H73" s="615"/>
      <c r="I73" s="770"/>
    </row>
    <row r="74" spans="1:9" s="757" customFormat="1" ht="25.5">
      <c r="A74" s="34">
        <f>MAX(A$1:A73)+1</f>
        <v>9</v>
      </c>
      <c r="B74" s="616"/>
      <c r="C74" s="617" t="s">
        <v>1803</v>
      </c>
      <c r="D74" s="617"/>
      <c r="E74" s="760" t="s">
        <v>1804</v>
      </c>
      <c r="F74" s="760"/>
      <c r="G74" s="614" t="s">
        <v>21</v>
      </c>
      <c r="H74" s="623">
        <v>9.3800000000000008</v>
      </c>
      <c r="I74" s="770"/>
    </row>
    <row r="75" spans="1:9" s="757" customFormat="1" ht="25.5">
      <c r="A75" s="609"/>
      <c r="B75" s="616"/>
      <c r="C75" s="617"/>
      <c r="D75" s="646" t="s">
        <v>1805</v>
      </c>
      <c r="E75" s="647" t="s">
        <v>1806</v>
      </c>
      <c r="F75" s="647"/>
      <c r="G75" s="649" t="s">
        <v>21</v>
      </c>
      <c r="H75" s="615">
        <v>9.3800000000000008</v>
      </c>
      <c r="I75" s="770"/>
    </row>
    <row r="76" spans="1:9" s="757" customFormat="1">
      <c r="A76" s="609"/>
      <c r="B76" s="616"/>
      <c r="C76" s="617"/>
      <c r="D76" s="646"/>
      <c r="E76" s="792" t="s">
        <v>1797</v>
      </c>
      <c r="F76" s="797"/>
      <c r="G76" s="649"/>
      <c r="H76" s="615"/>
      <c r="I76" s="770"/>
    </row>
    <row r="77" spans="1:9" s="757" customFormat="1">
      <c r="A77" s="609"/>
      <c r="B77" s="616"/>
      <c r="C77" s="617"/>
      <c r="D77" s="646"/>
      <c r="E77" s="792" t="s">
        <v>1807</v>
      </c>
      <c r="F77" s="793">
        <f>0.35*(0.6+1.43+1.24+1.24)</f>
        <v>1.5784999999999998</v>
      </c>
      <c r="G77" s="649"/>
      <c r="H77" s="615"/>
      <c r="I77" s="770"/>
    </row>
    <row r="78" spans="1:9" s="757" customFormat="1" ht="25.5">
      <c r="A78" s="609"/>
      <c r="B78" s="616"/>
      <c r="C78" s="617"/>
      <c r="D78" s="646"/>
      <c r="E78" s="792" t="s">
        <v>1808</v>
      </c>
      <c r="F78" s="793">
        <f>0.35*(1.24+1.44+1.24)+0.12*(0.17*2*7+0.4*2*3+0.34*2+0.39*2+0.3*2+0.25*2)</f>
        <v>2.2527999999999997</v>
      </c>
      <c r="G78" s="649"/>
      <c r="H78" s="615"/>
      <c r="I78" s="770"/>
    </row>
    <row r="79" spans="1:9" s="757" customFormat="1">
      <c r="A79" s="609"/>
      <c r="B79" s="616"/>
      <c r="C79" s="617"/>
      <c r="D79" s="646"/>
      <c r="E79" s="792" t="s">
        <v>1809</v>
      </c>
      <c r="F79" s="793">
        <f>0.5*(1.4+1.23)+0.12*(0.15*2*4+1.02*2*4)</f>
        <v>2.4382000000000001</v>
      </c>
      <c r="G79" s="649"/>
      <c r="H79" s="615"/>
      <c r="I79" s="770"/>
    </row>
    <row r="80" spans="1:9" s="757" customFormat="1" ht="25.5">
      <c r="A80" s="609"/>
      <c r="B80" s="616"/>
      <c r="C80" s="617"/>
      <c r="D80" s="646"/>
      <c r="E80" s="629" t="s">
        <v>1801</v>
      </c>
      <c r="F80" s="794">
        <f>0.38*0.42+0.43*0.49+0.36*0.36+0.43*0.49+0.68*0.36+0.15*0.56+0.36*0.45+0.14*1.2+0.4*0.4</f>
        <v>1.5293999999999999</v>
      </c>
      <c r="G80" s="649"/>
      <c r="H80" s="615"/>
      <c r="I80" s="770"/>
    </row>
    <row r="81" spans="1:9" s="757" customFormat="1">
      <c r="A81" s="609"/>
      <c r="B81" s="616"/>
      <c r="C81" s="617"/>
      <c r="D81" s="646"/>
      <c r="E81" s="629" t="s">
        <v>1802</v>
      </c>
      <c r="F81" s="795">
        <f>0.31*3+0.12*(0.15*2*5+0.35*2+0.4*2*4)</f>
        <v>1.5779999999999998</v>
      </c>
      <c r="G81" s="649"/>
      <c r="H81" s="615"/>
      <c r="I81" s="770"/>
    </row>
    <row r="82" spans="1:9" s="757" customFormat="1">
      <c r="A82" s="609"/>
      <c r="B82" s="616"/>
      <c r="C82" s="617"/>
      <c r="D82" s="646"/>
      <c r="E82" s="772"/>
      <c r="F82" s="796">
        <f>SUM(F77:F81)</f>
        <v>9.3768999999999991</v>
      </c>
      <c r="G82" s="649"/>
      <c r="H82" s="615"/>
      <c r="I82" s="770"/>
    </row>
    <row r="83" spans="1:9" s="757" customFormat="1">
      <c r="A83" s="609"/>
      <c r="B83" s="616"/>
      <c r="C83" s="617"/>
      <c r="D83" s="646"/>
      <c r="E83" s="629" t="s">
        <v>1810</v>
      </c>
      <c r="F83" s="661"/>
      <c r="G83" s="649"/>
      <c r="H83" s="615"/>
      <c r="I83" s="770"/>
    </row>
    <row r="84" spans="1:9" customFormat="1" ht="15">
      <c r="A84" s="798"/>
      <c r="B84" s="645"/>
      <c r="C84" s="744"/>
      <c r="D84" s="745"/>
      <c r="E84" s="668"/>
      <c r="F84" s="799"/>
      <c r="G84" s="745"/>
      <c r="H84" s="665"/>
      <c r="I84" s="740"/>
    </row>
    <row r="85" spans="1:9" customFormat="1" ht="26.25">
      <c r="A85" s="34">
        <f>MAX(A$1:A84)+1</f>
        <v>10</v>
      </c>
      <c r="B85" s="645"/>
      <c r="C85" s="617" t="s">
        <v>1811</v>
      </c>
      <c r="D85" s="617"/>
      <c r="E85" s="760" t="s">
        <v>1812</v>
      </c>
      <c r="F85" s="760"/>
      <c r="G85" s="614" t="s">
        <v>15</v>
      </c>
      <c r="H85" s="644">
        <v>0.05</v>
      </c>
      <c r="I85" s="740"/>
    </row>
    <row r="86" spans="1:9" customFormat="1" ht="25.5">
      <c r="A86" s="798"/>
      <c r="B86" s="645"/>
      <c r="C86" s="617"/>
      <c r="D86" s="314" t="s">
        <v>1813</v>
      </c>
      <c r="E86" s="322" t="s">
        <v>1814</v>
      </c>
      <c r="F86" s="800"/>
      <c r="G86" s="801" t="s">
        <v>15</v>
      </c>
      <c r="H86" s="802">
        <v>0.05</v>
      </c>
      <c r="I86" s="740"/>
    </row>
    <row r="87" spans="1:9" customFormat="1" ht="15">
      <c r="A87" s="798"/>
      <c r="B87" s="645"/>
      <c r="C87" s="617"/>
      <c r="D87" s="646"/>
      <c r="E87" s="661" t="s">
        <v>1815</v>
      </c>
      <c r="F87" s="662"/>
      <c r="G87" s="649"/>
      <c r="H87" s="644"/>
      <c r="I87" s="740"/>
    </row>
    <row r="88" spans="1:9" customFormat="1" ht="15">
      <c r="A88" s="798"/>
      <c r="B88" s="645"/>
      <c r="C88" s="617"/>
      <c r="D88" s="646"/>
      <c r="E88" s="792" t="s">
        <v>1816</v>
      </c>
      <c r="F88" s="662">
        <f>0.72/0.12*7.9/1000</f>
        <v>4.7400000000000005E-2</v>
      </c>
      <c r="G88" s="649"/>
      <c r="H88" s="644"/>
      <c r="I88" s="740"/>
    </row>
    <row r="89" spans="1:9" customFormat="1" ht="15">
      <c r="A89" s="798"/>
      <c r="B89" s="645"/>
      <c r="C89" s="617"/>
      <c r="D89" s="646"/>
      <c r="E89" s="647"/>
      <c r="F89" s="648"/>
      <c r="G89" s="649"/>
      <c r="H89" s="644"/>
      <c r="I89" s="740"/>
    </row>
    <row r="90" spans="1:9" customFormat="1" ht="25.5">
      <c r="A90" s="34">
        <f>MAX(A$1:A89)+1</f>
        <v>11</v>
      </c>
      <c r="B90" s="645"/>
      <c r="C90" s="617" t="s">
        <v>1817</v>
      </c>
      <c r="D90" s="617"/>
      <c r="E90" s="759" t="s">
        <v>1818</v>
      </c>
      <c r="F90" s="760"/>
      <c r="G90" s="614" t="s">
        <v>15</v>
      </c>
      <c r="H90" s="644">
        <v>0.77</v>
      </c>
      <c r="I90" s="740"/>
    </row>
    <row r="91" spans="1:9" customFormat="1" ht="25.5">
      <c r="A91" s="798"/>
      <c r="B91" s="645"/>
      <c r="C91" s="646"/>
      <c r="D91" s="646" t="s">
        <v>1819</v>
      </c>
      <c r="E91" s="782" t="s">
        <v>1820</v>
      </c>
      <c r="F91" s="647"/>
      <c r="G91" s="649" t="s">
        <v>15</v>
      </c>
      <c r="H91" s="802">
        <v>0.77</v>
      </c>
      <c r="I91" s="740"/>
    </row>
    <row r="92" spans="1:9" customFormat="1" ht="15">
      <c r="A92" s="798"/>
      <c r="B92" s="645"/>
      <c r="C92" s="617"/>
      <c r="D92" s="646"/>
      <c r="E92" s="661" t="s">
        <v>1821</v>
      </c>
      <c r="F92" s="662"/>
      <c r="G92" s="649"/>
      <c r="H92" s="644"/>
      <c r="I92" s="740"/>
    </row>
    <row r="93" spans="1:9" customFormat="1" ht="15">
      <c r="A93" s="798"/>
      <c r="B93" s="645"/>
      <c r="C93" s="617"/>
      <c r="D93" s="646"/>
      <c r="E93" s="661" t="s">
        <v>1822</v>
      </c>
      <c r="F93" s="662">
        <f>372.4/1000</f>
        <v>0.37239999999999995</v>
      </c>
      <c r="G93" s="649"/>
      <c r="H93" s="644"/>
      <c r="I93" s="740"/>
    </row>
    <row r="94" spans="1:9" customFormat="1" ht="15">
      <c r="A94" s="798"/>
      <c r="B94" s="645"/>
      <c r="C94" s="617"/>
      <c r="D94" s="646"/>
      <c r="E94" s="661" t="s">
        <v>1823</v>
      </c>
      <c r="F94" s="662">
        <f>87.6/1000</f>
        <v>8.7599999999999997E-2</v>
      </c>
      <c r="G94" s="649"/>
      <c r="H94" s="644"/>
      <c r="I94" s="740"/>
    </row>
    <row r="95" spans="1:9" customFormat="1" ht="15">
      <c r="A95" s="798"/>
      <c r="B95" s="645"/>
      <c r="C95" s="617"/>
      <c r="D95" s="646"/>
      <c r="E95" s="661" t="s">
        <v>1824</v>
      </c>
      <c r="F95" s="664">
        <f>307.6/1000</f>
        <v>0.30760000000000004</v>
      </c>
      <c r="G95" s="649"/>
      <c r="H95" s="644"/>
      <c r="I95" s="740"/>
    </row>
    <row r="96" spans="1:9" customFormat="1" ht="15">
      <c r="A96" s="798"/>
      <c r="B96" s="645"/>
      <c r="C96" s="617"/>
      <c r="D96" s="646"/>
      <c r="E96" s="803"/>
      <c r="F96" s="662">
        <f>SUM(F93:F95)</f>
        <v>0.76760000000000006</v>
      </c>
      <c r="G96" s="649"/>
      <c r="H96" s="644"/>
      <c r="I96" s="740"/>
    </row>
    <row r="97" spans="1:9" customFormat="1" ht="15">
      <c r="A97" s="798"/>
      <c r="B97" s="645"/>
      <c r="C97" s="617"/>
      <c r="D97" s="646"/>
      <c r="E97" s="661" t="s">
        <v>1825</v>
      </c>
      <c r="F97" s="662"/>
      <c r="G97" s="649"/>
      <c r="H97" s="644"/>
      <c r="I97" s="740"/>
    </row>
    <row r="98" spans="1:9" customFormat="1" ht="15">
      <c r="A98" s="798"/>
      <c r="B98" s="645"/>
      <c r="C98" s="617"/>
      <c r="D98" s="646"/>
      <c r="E98" s="647"/>
      <c r="F98" s="648"/>
      <c r="G98" s="649"/>
      <c r="H98" s="644"/>
      <c r="I98" s="740"/>
    </row>
    <row r="99" spans="1:9" customFormat="1" ht="38.25">
      <c r="A99" s="34">
        <f>MAX(A$1:A98)+1</f>
        <v>12</v>
      </c>
      <c r="B99" s="645"/>
      <c r="C99" s="804" t="s">
        <v>1826</v>
      </c>
      <c r="D99" s="804"/>
      <c r="E99" s="805" t="s">
        <v>1827</v>
      </c>
      <c r="F99" s="806"/>
      <c r="G99" s="807" t="s">
        <v>21</v>
      </c>
      <c r="H99" s="808">
        <v>16</v>
      </c>
      <c r="I99" s="740"/>
    </row>
    <row r="100" spans="1:9" customFormat="1" ht="15">
      <c r="A100" s="798"/>
      <c r="B100" s="645"/>
      <c r="C100" s="617"/>
      <c r="D100" s="646"/>
      <c r="E100" s="661" t="s">
        <v>1828</v>
      </c>
      <c r="F100" s="662"/>
      <c r="G100" s="649"/>
      <c r="H100" s="644"/>
      <c r="I100" s="740"/>
    </row>
    <row r="101" spans="1:9" customFormat="1" ht="15">
      <c r="A101" s="798"/>
      <c r="B101" s="645"/>
      <c r="C101" s="617"/>
      <c r="D101" s="646"/>
      <c r="E101" s="792" t="s">
        <v>1797</v>
      </c>
      <c r="F101" s="797"/>
      <c r="G101" s="649"/>
      <c r="H101" s="644"/>
      <c r="I101" s="740"/>
    </row>
    <row r="102" spans="1:9" customFormat="1" ht="15">
      <c r="A102" s="798"/>
      <c r="B102" s="645"/>
      <c r="C102" s="617"/>
      <c r="D102" s="646"/>
      <c r="E102" s="792" t="s">
        <v>1829</v>
      </c>
      <c r="F102" s="793">
        <f>0.72/0.12</f>
        <v>6</v>
      </c>
      <c r="G102" s="649"/>
      <c r="H102" s="644"/>
      <c r="I102" s="740"/>
    </row>
    <row r="103" spans="1:9" customFormat="1" ht="15">
      <c r="A103" s="798"/>
      <c r="B103" s="645"/>
      <c r="C103" s="617"/>
      <c r="D103" s="646"/>
      <c r="E103" s="792" t="s">
        <v>1830</v>
      </c>
      <c r="F103" s="793"/>
      <c r="G103" s="649"/>
      <c r="H103" s="644"/>
      <c r="I103" s="740"/>
    </row>
    <row r="104" spans="1:9" customFormat="1" ht="15">
      <c r="A104" s="798"/>
      <c r="B104" s="645"/>
      <c r="C104" s="617"/>
      <c r="D104" s="646"/>
      <c r="E104" s="809">
        <v>10</v>
      </c>
      <c r="F104" s="810">
        <v>10</v>
      </c>
      <c r="G104" s="649"/>
      <c r="H104" s="644"/>
      <c r="I104" s="740"/>
    </row>
    <row r="105" spans="1:9" customFormat="1" ht="15">
      <c r="A105" s="798"/>
      <c r="B105" s="645"/>
      <c r="C105" s="617"/>
      <c r="D105" s="646"/>
      <c r="E105" s="772"/>
      <c r="F105" s="811">
        <f>SUM(F102:F104)</f>
        <v>16</v>
      </c>
      <c r="G105" s="649"/>
      <c r="H105" s="644"/>
      <c r="I105" s="740"/>
    </row>
    <row r="106" spans="1:9" customFormat="1" ht="15">
      <c r="A106" s="798"/>
      <c r="B106" s="645"/>
      <c r="C106" s="617"/>
      <c r="D106" s="617"/>
      <c r="E106" s="812"/>
      <c r="F106" s="760"/>
      <c r="G106" s="614"/>
      <c r="H106" s="644"/>
      <c r="I106" s="740"/>
    </row>
    <row r="107" spans="1:9" customFormat="1" ht="15">
      <c r="A107" s="34">
        <f>MAX(A$1:A106)+1</f>
        <v>13</v>
      </c>
      <c r="B107" s="645"/>
      <c r="C107" s="617" t="s">
        <v>1831</v>
      </c>
      <c r="D107" s="617"/>
      <c r="E107" s="759" t="s">
        <v>1832</v>
      </c>
      <c r="F107" s="760"/>
      <c r="G107" s="614" t="s">
        <v>21</v>
      </c>
      <c r="H107" s="644">
        <v>16</v>
      </c>
      <c r="I107" s="740"/>
    </row>
    <row r="108" spans="1:9" customFormat="1" ht="15">
      <c r="A108" s="798"/>
      <c r="B108" s="645"/>
      <c r="C108" s="617"/>
      <c r="D108" s="646" t="s">
        <v>1833</v>
      </c>
      <c r="E108" s="782" t="s">
        <v>1834</v>
      </c>
      <c r="F108" s="647"/>
      <c r="G108" s="649" t="s">
        <v>21</v>
      </c>
      <c r="H108" s="802">
        <v>16</v>
      </c>
      <c r="I108" s="740"/>
    </row>
    <row r="109" spans="1:9" customFormat="1" ht="25.5">
      <c r="A109" s="798"/>
      <c r="B109" s="645"/>
      <c r="C109" s="617"/>
      <c r="D109" s="646"/>
      <c r="E109" s="629" t="s">
        <v>1835</v>
      </c>
      <c r="F109" s="813"/>
      <c r="G109" s="649"/>
      <c r="H109" s="802"/>
      <c r="I109" s="740"/>
    </row>
    <row r="110" spans="1:9" customFormat="1" ht="15">
      <c r="A110" s="798"/>
      <c r="B110" s="645"/>
      <c r="C110" s="617"/>
      <c r="D110" s="646"/>
      <c r="E110" s="629" t="s">
        <v>1836</v>
      </c>
      <c r="F110" s="811">
        <f>16</f>
        <v>16</v>
      </c>
      <c r="G110" s="649"/>
      <c r="H110" s="802"/>
      <c r="I110" s="740"/>
    </row>
    <row r="111" spans="1:9" customFormat="1" ht="15">
      <c r="A111" s="798"/>
      <c r="B111" s="645"/>
      <c r="C111" s="617"/>
      <c r="D111" s="646"/>
      <c r="E111" s="629"/>
      <c r="F111" s="811"/>
      <c r="G111" s="649"/>
      <c r="H111" s="802"/>
      <c r="I111" s="740"/>
    </row>
    <row r="112" spans="1:9" customFormat="1" ht="15">
      <c r="A112" s="95"/>
      <c r="B112" s="35" t="s">
        <v>501</v>
      </c>
      <c r="C112" s="35"/>
      <c r="D112" s="94"/>
      <c r="E112" s="211" t="s">
        <v>502</v>
      </c>
      <c r="F112" s="100"/>
      <c r="G112" s="97"/>
      <c r="H112" s="554"/>
      <c r="I112" s="740"/>
    </row>
    <row r="113" spans="1:9" customFormat="1" ht="15">
      <c r="A113" s="23"/>
      <c r="B113" s="233"/>
      <c r="C113" s="31"/>
      <c r="D113" s="234"/>
      <c r="E113" s="33"/>
      <c r="F113" s="28"/>
      <c r="G113" s="29"/>
      <c r="H113" s="555"/>
      <c r="I113" s="740"/>
    </row>
    <row r="114" spans="1:9" customFormat="1" ht="25.5">
      <c r="A114" s="34">
        <f>MAX(A$1:A113)+1</f>
        <v>14</v>
      </c>
      <c r="B114" s="327"/>
      <c r="C114" s="37" t="s">
        <v>1837</v>
      </c>
      <c r="D114" s="37"/>
      <c r="E114" s="38" t="s">
        <v>1838</v>
      </c>
      <c r="F114" s="123"/>
      <c r="G114" s="40" t="s">
        <v>36</v>
      </c>
      <c r="H114" s="556">
        <v>280</v>
      </c>
      <c r="I114" s="740"/>
    </row>
    <row r="115" spans="1:9" customFormat="1" ht="25.5">
      <c r="A115" s="34"/>
      <c r="B115" s="327"/>
      <c r="C115" s="37"/>
      <c r="D115" s="37"/>
      <c r="E115" s="777" t="s">
        <v>1768</v>
      </c>
      <c r="F115" s="123"/>
      <c r="G115" s="40"/>
      <c r="H115" s="556"/>
      <c r="I115" s="740"/>
    </row>
    <row r="116" spans="1:9" customFormat="1" ht="15">
      <c r="A116" s="72"/>
      <c r="B116" s="329"/>
      <c r="C116" s="66"/>
      <c r="D116" s="66"/>
      <c r="E116" s="65" t="s">
        <v>1839</v>
      </c>
      <c r="F116" s="212">
        <v>280</v>
      </c>
      <c r="G116" s="62"/>
      <c r="H116" s="557"/>
      <c r="I116" s="740"/>
    </row>
    <row r="117" spans="1:9" customFormat="1" ht="15">
      <c r="A117" s="72"/>
      <c r="B117" s="329"/>
      <c r="C117" s="66"/>
      <c r="D117" s="67"/>
      <c r="E117" s="77"/>
      <c r="F117" s="46"/>
      <c r="G117" s="62"/>
      <c r="H117" s="557"/>
      <c r="I117" s="740"/>
    </row>
    <row r="118" spans="1:9" customFormat="1" ht="38.25">
      <c r="A118" s="34">
        <f>MAX(A$1:A117)+1</f>
        <v>15</v>
      </c>
      <c r="B118" s="327"/>
      <c r="C118" s="37" t="s">
        <v>1840</v>
      </c>
      <c r="D118" s="37"/>
      <c r="E118" s="38" t="s">
        <v>1841</v>
      </c>
      <c r="F118" s="123"/>
      <c r="G118" s="40" t="s">
        <v>33</v>
      </c>
      <c r="H118" s="556">
        <v>28</v>
      </c>
      <c r="I118" s="740"/>
    </row>
    <row r="119" spans="1:9" customFormat="1" ht="25.5">
      <c r="A119" s="34"/>
      <c r="B119" s="327"/>
      <c r="C119" s="37"/>
      <c r="D119" s="37"/>
      <c r="E119" s="777" t="s">
        <v>1768</v>
      </c>
      <c r="F119" s="123"/>
      <c r="G119" s="40"/>
      <c r="H119" s="556"/>
      <c r="I119" s="740"/>
    </row>
    <row r="120" spans="1:9" customFormat="1" ht="15">
      <c r="A120" s="72"/>
      <c r="B120" s="329"/>
      <c r="C120" s="66"/>
      <c r="D120" s="66"/>
      <c r="E120" s="65" t="s">
        <v>1842</v>
      </c>
      <c r="F120" s="212">
        <v>28</v>
      </c>
      <c r="G120" s="62"/>
      <c r="H120" s="557"/>
      <c r="I120" s="740"/>
    </row>
    <row r="121" spans="1:9" customFormat="1" ht="15">
      <c r="A121" s="290"/>
      <c r="B121" s="328"/>
      <c r="C121" s="117"/>
      <c r="D121" s="37"/>
      <c r="E121" s="77"/>
      <c r="F121" s="457"/>
      <c r="G121" s="40"/>
      <c r="H121" s="561"/>
      <c r="I121" s="740"/>
    </row>
    <row r="122" spans="1:9" customFormat="1" ht="25.5">
      <c r="A122" s="34">
        <f>MAX(A$1:A121)+1</f>
        <v>16</v>
      </c>
      <c r="B122" s="327"/>
      <c r="C122" s="37" t="s">
        <v>1843</v>
      </c>
      <c r="D122" s="37"/>
      <c r="E122" s="38" t="s">
        <v>1844</v>
      </c>
      <c r="F122" s="123"/>
      <c r="G122" s="40" t="s">
        <v>33</v>
      </c>
      <c r="H122" s="556">
        <v>28</v>
      </c>
      <c r="I122" s="740"/>
    </row>
    <row r="123" spans="1:9" customFormat="1" ht="25.5">
      <c r="A123" s="34"/>
      <c r="B123" s="327"/>
      <c r="C123" s="37"/>
      <c r="D123" s="37"/>
      <c r="E123" s="777" t="s">
        <v>1768</v>
      </c>
      <c r="F123" s="123"/>
      <c r="G123" s="40"/>
      <c r="H123" s="556"/>
      <c r="I123" s="740"/>
    </row>
    <row r="124" spans="1:9" customFormat="1" ht="15">
      <c r="A124" s="72"/>
      <c r="B124" s="329"/>
      <c r="C124" s="66"/>
      <c r="D124" s="66"/>
      <c r="E124" s="65" t="s">
        <v>1845</v>
      </c>
      <c r="F124" s="212">
        <v>28</v>
      </c>
      <c r="G124" s="62"/>
      <c r="H124" s="557"/>
      <c r="I124" s="740"/>
    </row>
    <row r="125" spans="1:9" customFormat="1" ht="15">
      <c r="A125" s="798"/>
      <c r="B125" s="645"/>
      <c r="C125" s="617"/>
      <c r="D125" s="646"/>
      <c r="E125" s="629"/>
      <c r="F125" s="811"/>
      <c r="G125" s="649"/>
      <c r="H125" s="802"/>
      <c r="I125" s="740"/>
    </row>
    <row r="126" spans="1:9" s="818" customFormat="1">
      <c r="A126" s="814"/>
      <c r="B126" s="790" t="s">
        <v>1742</v>
      </c>
      <c r="C126" s="790"/>
      <c r="D126" s="791"/>
      <c r="E126" s="768" t="s">
        <v>1743</v>
      </c>
      <c r="F126" s="815"/>
      <c r="G126" s="816"/>
      <c r="H126" s="817"/>
    </row>
    <row r="127" spans="1:9" s="818" customFormat="1">
      <c r="A127" s="819"/>
      <c r="B127" s="666"/>
      <c r="C127" s="646"/>
      <c r="D127" s="820"/>
      <c r="E127" s="820"/>
      <c r="F127" s="747"/>
      <c r="G127" s="667"/>
      <c r="H127" s="821"/>
    </row>
    <row r="128" spans="1:9" customFormat="1" ht="15">
      <c r="A128" s="34">
        <f>MAX(A$1:A127)+1</f>
        <v>17</v>
      </c>
      <c r="B128" s="645"/>
      <c r="C128" s="804" t="s">
        <v>1846</v>
      </c>
      <c r="D128" s="804"/>
      <c r="E128" s="805" t="s">
        <v>1847</v>
      </c>
      <c r="F128" s="806"/>
      <c r="G128" s="807" t="s">
        <v>21</v>
      </c>
      <c r="H128" s="822">
        <v>50</v>
      </c>
      <c r="I128" s="740"/>
    </row>
    <row r="129" spans="1:9" customFormat="1" ht="25.5">
      <c r="A129" s="798"/>
      <c r="B129" s="823"/>
      <c r="C129" s="824"/>
      <c r="D129" s="824" t="s">
        <v>1848</v>
      </c>
      <c r="E129" s="825" t="s">
        <v>1849</v>
      </c>
      <c r="F129" s="826"/>
      <c r="G129" s="801" t="s">
        <v>21</v>
      </c>
      <c r="H129" s="827">
        <v>50</v>
      </c>
      <c r="I129" s="740"/>
    </row>
    <row r="130" spans="1:9" customFormat="1" ht="15">
      <c r="A130" s="798"/>
      <c r="B130" s="823"/>
      <c r="C130" s="828"/>
      <c r="D130" s="829"/>
      <c r="E130" s="830" t="s">
        <v>1850</v>
      </c>
      <c r="F130" s="831">
        <v>50</v>
      </c>
      <c r="G130" s="829"/>
      <c r="H130" s="832"/>
      <c r="I130" s="740"/>
    </row>
    <row r="131" spans="1:9" customFormat="1" ht="15">
      <c r="A131" s="798"/>
      <c r="B131" s="823"/>
      <c r="C131" s="828"/>
      <c r="D131" s="833"/>
      <c r="E131" s="830"/>
      <c r="F131" s="831"/>
      <c r="G131" s="829"/>
      <c r="H131" s="832"/>
      <c r="I131" s="740"/>
    </row>
    <row r="132" spans="1:9" customFormat="1" ht="15">
      <c r="A132" s="72"/>
      <c r="B132" s="35" t="s">
        <v>723</v>
      </c>
      <c r="C132" s="35"/>
      <c r="D132" s="94"/>
      <c r="E132" s="211" t="s">
        <v>724</v>
      </c>
      <c r="F132" s="547"/>
      <c r="G132" s="62"/>
      <c r="H132" s="557"/>
      <c r="I132" s="740"/>
    </row>
    <row r="133" spans="1:9" customFormat="1" ht="15">
      <c r="A133" s="72"/>
      <c r="B133" s="35"/>
      <c r="C133" s="35"/>
      <c r="D133" s="94"/>
      <c r="E133" s="211"/>
      <c r="F133" s="547"/>
      <c r="G133" s="62"/>
      <c r="H133" s="557"/>
      <c r="I133" s="740"/>
    </row>
    <row r="134" spans="1:9" customFormat="1" ht="25.5">
      <c r="A134" s="34">
        <f>MAX(A$1:A133)+1</f>
        <v>18</v>
      </c>
      <c r="B134" s="327"/>
      <c r="C134" s="37" t="s">
        <v>1851</v>
      </c>
      <c r="D134" s="37"/>
      <c r="E134" s="38" t="s">
        <v>1852</v>
      </c>
      <c r="F134" s="123"/>
      <c r="G134" s="40" t="s">
        <v>36</v>
      </c>
      <c r="H134" s="556">
        <v>350</v>
      </c>
      <c r="I134" s="740"/>
    </row>
    <row r="135" spans="1:9" customFormat="1" ht="25.5">
      <c r="A135" s="72"/>
      <c r="B135" s="329"/>
      <c r="C135" s="66"/>
      <c r="D135" s="199">
        <v>9204010101</v>
      </c>
      <c r="E135" s="71" t="s">
        <v>1853</v>
      </c>
      <c r="F135" s="61"/>
      <c r="G135" s="62" t="s">
        <v>36</v>
      </c>
      <c r="H135" s="545">
        <v>350</v>
      </c>
      <c r="I135" s="740"/>
    </row>
    <row r="136" spans="1:9" customFormat="1" ht="15">
      <c r="A136" s="72"/>
      <c r="B136" s="329"/>
      <c r="C136" s="66"/>
      <c r="D136" s="834"/>
      <c r="E136" s="778" t="s">
        <v>1770</v>
      </c>
      <c r="F136" s="775"/>
      <c r="G136" s="776"/>
      <c r="H136" s="545"/>
      <c r="I136" s="740"/>
    </row>
    <row r="137" spans="1:9" customFormat="1" ht="15">
      <c r="A137" s="72"/>
      <c r="B137" s="329"/>
      <c r="C137" s="66"/>
      <c r="D137" s="431"/>
      <c r="E137" s="330" t="s">
        <v>1854</v>
      </c>
      <c r="F137" s="547">
        <v>350</v>
      </c>
      <c r="G137" s="512"/>
      <c r="H137" s="544"/>
      <c r="I137" s="740"/>
    </row>
    <row r="138" spans="1:9" customFormat="1" ht="15">
      <c r="A138" s="72"/>
      <c r="B138" s="329"/>
      <c r="C138" s="66"/>
      <c r="D138" s="431"/>
      <c r="E138" s="330"/>
      <c r="F138" s="547"/>
      <c r="G138" s="512"/>
      <c r="H138" s="544"/>
      <c r="I138" s="740"/>
    </row>
    <row r="139" spans="1:9" customFormat="1" ht="25.5">
      <c r="A139" s="34">
        <f>MAX(A$1:A138)+1</f>
        <v>19</v>
      </c>
      <c r="B139" s="327"/>
      <c r="C139" s="37" t="s">
        <v>1855</v>
      </c>
      <c r="D139" s="37"/>
      <c r="E139" s="38" t="s">
        <v>1856</v>
      </c>
      <c r="F139" s="123"/>
      <c r="G139" s="40" t="s">
        <v>33</v>
      </c>
      <c r="H139" s="556">
        <v>1</v>
      </c>
      <c r="I139" s="740"/>
    </row>
    <row r="140" spans="1:9" customFormat="1" ht="25.5">
      <c r="A140" s="72"/>
      <c r="B140" s="329"/>
      <c r="C140" s="66"/>
      <c r="D140" s="834" t="s">
        <v>1857</v>
      </c>
      <c r="E140" s="774" t="s">
        <v>1858</v>
      </c>
      <c r="F140" s="775"/>
      <c r="G140" s="776" t="s">
        <v>33</v>
      </c>
      <c r="H140" s="545">
        <v>1</v>
      </c>
      <c r="I140" s="740"/>
    </row>
    <row r="141" spans="1:9" customFormat="1" ht="15">
      <c r="A141" s="72"/>
      <c r="B141" s="329"/>
      <c r="C141" s="66"/>
      <c r="D141" s="834"/>
      <c r="E141" s="778" t="s">
        <v>1770</v>
      </c>
      <c r="F141" s="775"/>
      <c r="G141" s="776"/>
      <c r="H141" s="545"/>
      <c r="I141" s="740"/>
    </row>
    <row r="142" spans="1:9" customFormat="1" ht="25.5">
      <c r="A142" s="72"/>
      <c r="B142" s="329"/>
      <c r="C142" s="66"/>
      <c r="D142" s="431"/>
      <c r="E142" s="330" t="s">
        <v>1859</v>
      </c>
      <c r="F142" s="547">
        <v>1</v>
      </c>
      <c r="G142" s="512"/>
      <c r="H142" s="544"/>
      <c r="I142" s="740"/>
    </row>
    <row r="143" spans="1:9" customFormat="1" ht="15">
      <c r="A143" s="34"/>
      <c r="B143" s="327"/>
      <c r="C143" s="37"/>
      <c r="D143" s="37"/>
      <c r="E143" s="330" t="s">
        <v>1860</v>
      </c>
      <c r="F143" s="547"/>
      <c r="G143" s="40"/>
      <c r="H143" s="556"/>
      <c r="I143" s="740"/>
    </row>
    <row r="144" spans="1:9" customFormat="1" ht="15">
      <c r="A144" s="72"/>
      <c r="B144" s="329"/>
      <c r="C144" s="66"/>
      <c r="D144" s="66"/>
      <c r="E144" s="330" t="s">
        <v>1861</v>
      </c>
      <c r="F144" s="547"/>
      <c r="G144" s="62"/>
      <c r="H144" s="557"/>
      <c r="I144" s="740"/>
    </row>
    <row r="145" spans="1:9" customFormat="1" ht="15">
      <c r="A145" s="290"/>
      <c r="B145" s="328"/>
      <c r="C145" s="331"/>
      <c r="D145" s="332"/>
      <c r="E145" s="330" t="s">
        <v>1862</v>
      </c>
      <c r="F145" s="547"/>
      <c r="G145" s="333"/>
      <c r="H145" s="558"/>
      <c r="I145" s="740"/>
    </row>
    <row r="146" spans="1:9" customFormat="1" ht="15">
      <c r="A146" s="34"/>
      <c r="B146" s="327"/>
      <c r="C146" s="37"/>
      <c r="D146" s="37"/>
      <c r="E146" s="330" t="s">
        <v>1863</v>
      </c>
      <c r="F146" s="547"/>
      <c r="G146" s="40"/>
      <c r="H146" s="556"/>
      <c r="I146" s="740"/>
    </row>
    <row r="147" spans="1:9" customFormat="1" ht="15">
      <c r="A147" s="72"/>
      <c r="B147" s="329"/>
      <c r="C147" s="66"/>
      <c r="D147" s="66"/>
      <c r="E147" s="330" t="s">
        <v>1864</v>
      </c>
      <c r="F147" s="547"/>
      <c r="G147" s="62"/>
      <c r="H147" s="557"/>
      <c r="I147" s="740"/>
    </row>
    <row r="148" spans="1:9" customFormat="1" ht="15">
      <c r="A148" s="290"/>
      <c r="B148" s="328"/>
      <c r="C148" s="117"/>
      <c r="D148" s="37"/>
      <c r="E148" s="330" t="s">
        <v>1865</v>
      </c>
      <c r="F148" s="547"/>
      <c r="G148" s="40"/>
      <c r="H148" s="561"/>
      <c r="I148" s="740"/>
    </row>
    <row r="149" spans="1:9" customFormat="1" ht="15">
      <c r="A149" s="34"/>
      <c r="B149" s="327"/>
      <c r="C149" s="37"/>
      <c r="D149" s="37"/>
      <c r="E149" s="330" t="s">
        <v>1866</v>
      </c>
      <c r="F149" s="547"/>
      <c r="G149" s="40"/>
      <c r="H149" s="556"/>
      <c r="I149" s="740"/>
    </row>
    <row r="150" spans="1:9" customFormat="1" ht="15">
      <c r="A150" s="72"/>
      <c r="B150" s="329"/>
      <c r="C150" s="66"/>
      <c r="D150" s="66"/>
      <c r="E150" s="330" t="s">
        <v>1867</v>
      </c>
      <c r="F150" s="547"/>
      <c r="G150" s="62"/>
      <c r="H150" s="557"/>
      <c r="I150" s="740"/>
    </row>
    <row r="151" spans="1:9" customFormat="1" ht="15">
      <c r="A151" s="95"/>
      <c r="B151" s="35"/>
      <c r="C151" s="35"/>
      <c r="D151" s="94"/>
      <c r="E151" s="330" t="s">
        <v>1868</v>
      </c>
      <c r="F151" s="547"/>
      <c r="G151" s="514"/>
      <c r="H151" s="563"/>
      <c r="I151" s="740"/>
    </row>
    <row r="152" spans="1:9" customFormat="1" ht="15">
      <c r="A152" s="34"/>
      <c r="B152" s="327"/>
      <c r="C152" s="37"/>
      <c r="D152" s="37"/>
      <c r="E152" s="330" t="s">
        <v>1869</v>
      </c>
      <c r="F152" s="547"/>
      <c r="G152" s="40"/>
      <c r="H152" s="556"/>
      <c r="I152" s="740"/>
    </row>
    <row r="153" spans="1:9" customFormat="1" ht="15">
      <c r="A153" s="72"/>
      <c r="B153" s="329"/>
      <c r="C153" s="66"/>
      <c r="D153" s="66"/>
      <c r="E153" s="330" t="s">
        <v>1870</v>
      </c>
      <c r="F153" s="547"/>
      <c r="G153" s="62"/>
      <c r="H153" s="557"/>
      <c r="I153" s="740"/>
    </row>
    <row r="154" spans="1:9" customFormat="1" ht="15">
      <c r="A154" s="72"/>
      <c r="B154" s="197"/>
      <c r="C154" s="198"/>
      <c r="D154" s="199"/>
      <c r="E154" s="330" t="s">
        <v>1871</v>
      </c>
      <c r="F154" s="547"/>
      <c r="G154" s="295"/>
      <c r="H154" s="535"/>
      <c r="I154" s="740"/>
    </row>
    <row r="155" spans="1:9" customFormat="1" ht="15">
      <c r="A155" s="835"/>
      <c r="B155" s="836"/>
      <c r="C155" s="834"/>
      <c r="D155" s="773"/>
      <c r="E155" s="330" t="s">
        <v>1872</v>
      </c>
      <c r="F155" s="837"/>
      <c r="G155" s="776"/>
      <c r="H155" s="545"/>
      <c r="I155" s="740"/>
    </row>
    <row r="156" spans="1:9" customFormat="1" ht="15">
      <c r="A156" s="334"/>
      <c r="B156" s="440"/>
      <c r="C156" s="430"/>
      <c r="D156" s="431"/>
      <c r="E156" s="330" t="s">
        <v>1873</v>
      </c>
      <c r="F156" s="837"/>
      <c r="G156" s="512"/>
      <c r="H156" s="544"/>
      <c r="I156" s="740"/>
    </row>
    <row r="157" spans="1:9" customFormat="1" ht="15">
      <c r="A157" s="798"/>
      <c r="B157" s="823"/>
      <c r="C157" s="828"/>
      <c r="D157" s="833"/>
      <c r="E157" s="830"/>
      <c r="F157" s="831"/>
      <c r="G157" s="829"/>
      <c r="H157" s="832"/>
      <c r="I157" s="740"/>
    </row>
    <row r="158" spans="1:9" customFormat="1" ht="15">
      <c r="A158" s="95"/>
      <c r="B158" s="35" t="s">
        <v>225</v>
      </c>
      <c r="C158" s="35"/>
      <c r="D158" s="94"/>
      <c r="E158" s="211" t="s">
        <v>226</v>
      </c>
      <c r="F158" s="100"/>
      <c r="G158" s="97"/>
      <c r="H158" s="554"/>
      <c r="I158" s="740"/>
    </row>
    <row r="159" spans="1:9" customFormat="1" ht="15">
      <c r="A159" s="95"/>
      <c r="B159" s="35"/>
      <c r="C159" s="35"/>
      <c r="D159" s="485"/>
      <c r="E159" s="211"/>
      <c r="F159" s="100"/>
      <c r="G159" s="97"/>
      <c r="H159" s="554"/>
      <c r="I159" s="740"/>
    </row>
    <row r="160" spans="1:9" customFormat="1" ht="25.5">
      <c r="A160" s="34">
        <f>MAX(A$1:A159)+1</f>
        <v>20</v>
      </c>
      <c r="B160" s="327"/>
      <c r="C160" s="37" t="s">
        <v>1874</v>
      </c>
      <c r="D160" s="37"/>
      <c r="E160" s="38" t="s">
        <v>1875</v>
      </c>
      <c r="F160" s="123"/>
      <c r="G160" s="40" t="s">
        <v>36</v>
      </c>
      <c r="H160" s="556">
        <v>60</v>
      </c>
      <c r="I160" s="740"/>
    </row>
    <row r="161" spans="1:9" customFormat="1" ht="25.5">
      <c r="A161" s="72"/>
      <c r="B161" s="329"/>
      <c r="C161" s="66"/>
      <c r="D161" s="834" t="s">
        <v>1876</v>
      </c>
      <c r="E161" s="774" t="s">
        <v>1877</v>
      </c>
      <c r="F161" s="775"/>
      <c r="G161" s="776" t="s">
        <v>36</v>
      </c>
      <c r="H161" s="545">
        <v>60</v>
      </c>
      <c r="I161" s="740"/>
    </row>
    <row r="162" spans="1:9" customFormat="1" ht="25.5">
      <c r="A162" s="72"/>
      <c r="B162" s="329"/>
      <c r="C162" s="66"/>
      <c r="D162" s="834"/>
      <c r="E162" s="777" t="s">
        <v>1768</v>
      </c>
      <c r="F162" s="775"/>
      <c r="G162" s="776"/>
      <c r="H162" s="545"/>
      <c r="I162" s="740"/>
    </row>
    <row r="163" spans="1:9" customFormat="1" ht="15">
      <c r="A163" s="72"/>
      <c r="B163" s="329"/>
      <c r="C163" s="66"/>
      <c r="D163" s="431"/>
      <c r="E163" s="330" t="s">
        <v>1878</v>
      </c>
      <c r="F163" s="547">
        <v>60</v>
      </c>
      <c r="G163" s="512"/>
      <c r="H163" s="544"/>
      <c r="I163" s="740"/>
    </row>
    <row r="164" spans="1:9" customFormat="1" ht="15">
      <c r="A164" s="105"/>
      <c r="B164" s="329"/>
      <c r="C164" s="838"/>
      <c r="D164" s="839"/>
      <c r="E164" s="330"/>
      <c r="F164" s="547"/>
      <c r="G164" s="512"/>
      <c r="H164" s="840"/>
      <c r="I164" s="740"/>
    </row>
    <row r="165" spans="1:9" customFormat="1" ht="15">
      <c r="A165" s="34">
        <f>MAX(A$1:A164)+1</f>
        <v>21</v>
      </c>
      <c r="B165" s="327"/>
      <c r="C165" s="37" t="s">
        <v>1879</v>
      </c>
      <c r="D165" s="37"/>
      <c r="E165" s="38" t="s">
        <v>654</v>
      </c>
      <c r="F165" s="123"/>
      <c r="G165" s="40" t="s">
        <v>33</v>
      </c>
      <c r="H165" s="556">
        <v>50</v>
      </c>
      <c r="I165" s="740"/>
    </row>
    <row r="166" spans="1:9" customFormat="1" ht="15">
      <c r="A166" s="72"/>
      <c r="B166" s="329"/>
      <c r="C166" s="66"/>
      <c r="D166" s="834" t="s">
        <v>1880</v>
      </c>
      <c r="E166" s="774" t="s">
        <v>688</v>
      </c>
      <c r="F166" s="775"/>
      <c r="G166" s="776" t="s">
        <v>33</v>
      </c>
      <c r="H166" s="545">
        <v>50</v>
      </c>
      <c r="I166" s="740"/>
    </row>
    <row r="167" spans="1:9" customFormat="1" ht="25.5">
      <c r="A167" s="72"/>
      <c r="B167" s="329"/>
      <c r="C167" s="66"/>
      <c r="D167" s="834"/>
      <c r="E167" s="777" t="s">
        <v>1768</v>
      </c>
      <c r="F167" s="775"/>
      <c r="G167" s="776"/>
      <c r="H167" s="545"/>
      <c r="I167" s="740"/>
    </row>
    <row r="168" spans="1:9" customFormat="1" ht="15">
      <c r="A168" s="72"/>
      <c r="B168" s="329"/>
      <c r="C168" s="66"/>
      <c r="D168" s="431"/>
      <c r="E168" s="330" t="s">
        <v>1881</v>
      </c>
      <c r="F168" s="547">
        <v>50</v>
      </c>
      <c r="G168" s="512"/>
      <c r="H168" s="544"/>
      <c r="I168" s="740"/>
    </row>
    <row r="169" spans="1:9" customFormat="1" ht="15">
      <c r="A169" s="841"/>
      <c r="B169" s="194"/>
      <c r="C169" s="842"/>
      <c r="D169" s="843"/>
      <c r="E169" s="330"/>
      <c r="F169" s="547"/>
      <c r="G169" s="286"/>
      <c r="H169" s="844"/>
      <c r="I169" s="740"/>
    </row>
    <row r="170" spans="1:9" customFormat="1" ht="25.5">
      <c r="A170" s="34">
        <f>MAX(A$1:A169)+1</f>
        <v>22</v>
      </c>
      <c r="B170" s="327"/>
      <c r="C170" s="37" t="s">
        <v>1882</v>
      </c>
      <c r="D170" s="37"/>
      <c r="E170" s="38" t="s">
        <v>1883</v>
      </c>
      <c r="F170" s="123"/>
      <c r="G170" s="40" t="s">
        <v>36</v>
      </c>
      <c r="H170" s="556">
        <v>7</v>
      </c>
      <c r="I170" s="740"/>
    </row>
    <row r="171" spans="1:9" customFormat="1" ht="25.5">
      <c r="A171" s="72"/>
      <c r="B171" s="329"/>
      <c r="C171" s="66"/>
      <c r="D171" s="834" t="s">
        <v>1884</v>
      </c>
      <c r="E171" s="774" t="s">
        <v>1885</v>
      </c>
      <c r="F171" s="775"/>
      <c r="G171" s="776" t="s">
        <v>36</v>
      </c>
      <c r="H171" s="545">
        <v>7</v>
      </c>
      <c r="I171" s="740"/>
    </row>
    <row r="172" spans="1:9" customFormat="1" ht="25.5">
      <c r="A172" s="72"/>
      <c r="B172" s="329"/>
      <c r="C172" s="66"/>
      <c r="D172" s="834"/>
      <c r="E172" s="777" t="s">
        <v>1768</v>
      </c>
      <c r="F172" s="775"/>
      <c r="G172" s="776"/>
      <c r="H172" s="545"/>
      <c r="I172" s="740"/>
    </row>
    <row r="173" spans="1:9" customFormat="1" ht="15">
      <c r="A173" s="72"/>
      <c r="B173" s="329"/>
      <c r="C173" s="66"/>
      <c r="D173" s="431"/>
      <c r="E173" s="330" t="s">
        <v>1886</v>
      </c>
      <c r="F173" s="547">
        <v>7</v>
      </c>
      <c r="G173" s="512"/>
      <c r="H173" s="544"/>
      <c r="I173" s="740"/>
    </row>
    <row r="174" spans="1:9" customFormat="1" ht="15">
      <c r="A174" s="95"/>
      <c r="B174" s="35"/>
      <c r="C174" s="35"/>
      <c r="D174" s="485"/>
      <c r="E174" s="211"/>
      <c r="F174" s="100"/>
      <c r="G174" s="97"/>
      <c r="H174" s="554"/>
      <c r="I174" s="740"/>
    </row>
    <row r="175" spans="1:9" customFormat="1" ht="15">
      <c r="A175" s="34">
        <f>MAX(A$1:A174)+1</f>
        <v>23</v>
      </c>
      <c r="B175" s="327"/>
      <c r="C175" s="37" t="s">
        <v>556</v>
      </c>
      <c r="D175" s="37"/>
      <c r="E175" s="38" t="s">
        <v>227</v>
      </c>
      <c r="F175" s="123"/>
      <c r="G175" s="40" t="s">
        <v>36</v>
      </c>
      <c r="H175" s="556">
        <v>500</v>
      </c>
      <c r="I175" s="740"/>
    </row>
    <row r="176" spans="1:9" customFormat="1" ht="15">
      <c r="A176" s="72"/>
      <c r="B176" s="329"/>
      <c r="C176" s="66"/>
      <c r="D176" s="834" t="s">
        <v>1887</v>
      </c>
      <c r="E176" s="774" t="s">
        <v>1888</v>
      </c>
      <c r="F176" s="775"/>
      <c r="G176" s="776" t="s">
        <v>36</v>
      </c>
      <c r="H176" s="545">
        <v>500</v>
      </c>
      <c r="I176" s="740"/>
    </row>
    <row r="177" spans="1:9" customFormat="1" ht="25.5">
      <c r="A177" s="72"/>
      <c r="B177" s="329"/>
      <c r="C177" s="66"/>
      <c r="D177" s="834"/>
      <c r="E177" s="777" t="s">
        <v>1768</v>
      </c>
      <c r="F177" s="775"/>
      <c r="G177" s="776"/>
      <c r="H177" s="545"/>
      <c r="I177" s="740"/>
    </row>
    <row r="178" spans="1:9" customFormat="1" ht="15">
      <c r="A178" s="72"/>
      <c r="B178" s="329"/>
      <c r="C178" s="66"/>
      <c r="D178" s="431"/>
      <c r="E178" s="330" t="s">
        <v>1889</v>
      </c>
      <c r="F178" s="547">
        <v>500</v>
      </c>
      <c r="G178" s="512"/>
      <c r="H178" s="544"/>
      <c r="I178" s="740"/>
    </row>
    <row r="179" spans="1:9" customFormat="1" ht="15">
      <c r="A179" s="841"/>
      <c r="B179" s="194"/>
      <c r="C179" s="842"/>
      <c r="D179" s="843"/>
      <c r="E179" s="330"/>
      <c r="F179" s="547"/>
      <c r="G179" s="286"/>
      <c r="H179" s="844"/>
      <c r="I179" s="740"/>
    </row>
    <row r="180" spans="1:9" customFormat="1" ht="25.5">
      <c r="A180" s="34">
        <f>MAX(A$1:A179)+1</f>
        <v>24</v>
      </c>
      <c r="B180" s="327"/>
      <c r="C180" s="37" t="s">
        <v>1890</v>
      </c>
      <c r="D180" s="37"/>
      <c r="E180" s="38" t="s">
        <v>700</v>
      </c>
      <c r="F180" s="123"/>
      <c r="G180" s="40" t="s">
        <v>33</v>
      </c>
      <c r="H180" s="556">
        <v>48</v>
      </c>
      <c r="I180" s="740"/>
    </row>
    <row r="181" spans="1:9" customFormat="1" ht="25.5">
      <c r="A181" s="72"/>
      <c r="B181" s="329"/>
      <c r="C181" s="66"/>
      <c r="D181" s="834" t="s">
        <v>1891</v>
      </c>
      <c r="E181" s="774" t="s">
        <v>1892</v>
      </c>
      <c r="F181" s="775"/>
      <c r="G181" s="776" t="s">
        <v>33</v>
      </c>
      <c r="H181" s="545">
        <v>48</v>
      </c>
      <c r="I181" s="740"/>
    </row>
    <row r="182" spans="1:9" customFormat="1" ht="25.5">
      <c r="A182" s="72"/>
      <c r="B182" s="329"/>
      <c r="C182" s="66"/>
      <c r="D182" s="834"/>
      <c r="E182" s="777" t="s">
        <v>1768</v>
      </c>
      <c r="F182" s="775"/>
      <c r="G182" s="776"/>
      <c r="H182" s="545"/>
      <c r="I182" s="740"/>
    </row>
    <row r="183" spans="1:9" customFormat="1" ht="15">
      <c r="A183" s="72"/>
      <c r="B183" s="329"/>
      <c r="C183" s="66"/>
      <c r="D183" s="431"/>
      <c r="E183" s="330" t="s">
        <v>1893</v>
      </c>
      <c r="F183" s="547">
        <v>48</v>
      </c>
      <c r="G183" s="512"/>
      <c r="H183" s="544"/>
      <c r="I183" s="740"/>
    </row>
    <row r="184" spans="1:9" customFormat="1" ht="15">
      <c r="A184" s="105"/>
      <c r="B184" s="329"/>
      <c r="C184" s="838"/>
      <c r="D184" s="839"/>
      <c r="E184" s="330"/>
      <c r="F184" s="547"/>
      <c r="G184" s="512"/>
      <c r="H184" s="840"/>
      <c r="I184" s="740"/>
    </row>
    <row r="185" spans="1:9" customFormat="1" ht="25.5">
      <c r="A185" s="34">
        <f>MAX(A$1:A184)+1</f>
        <v>25</v>
      </c>
      <c r="B185" s="302"/>
      <c r="C185" s="195">
        <v>91113301</v>
      </c>
      <c r="D185" s="518"/>
      <c r="E185" s="38" t="s">
        <v>684</v>
      </c>
      <c r="F185" s="568"/>
      <c r="G185" s="40" t="s">
        <v>33</v>
      </c>
      <c r="H185" s="556">
        <v>2</v>
      </c>
      <c r="I185" s="740"/>
    </row>
    <row r="186" spans="1:9" customFormat="1" ht="25.5">
      <c r="A186" s="845"/>
      <c r="B186" s="302"/>
      <c r="C186" s="452"/>
      <c r="D186" s="199">
        <v>9111330101</v>
      </c>
      <c r="E186" s="774" t="s">
        <v>685</v>
      </c>
      <c r="F186" s="212"/>
      <c r="G186" s="62" t="s">
        <v>33</v>
      </c>
      <c r="H186" s="557">
        <v>2</v>
      </c>
      <c r="I186" s="740"/>
    </row>
    <row r="187" spans="1:9" customFormat="1" ht="25.5">
      <c r="A187" s="845"/>
      <c r="B187" s="302"/>
      <c r="C187" s="452"/>
      <c r="D187" s="235"/>
      <c r="E187" s="777" t="s">
        <v>1768</v>
      </c>
      <c r="F187" s="212"/>
      <c r="G187" s="62"/>
      <c r="H187" s="557"/>
      <c r="I187" s="740"/>
    </row>
    <row r="188" spans="1:9" customFormat="1" ht="15">
      <c r="A188" s="845"/>
      <c r="B188" s="302"/>
      <c r="C188" s="452"/>
      <c r="D188" s="235"/>
      <c r="E188" s="330" t="s">
        <v>1894</v>
      </c>
      <c r="F188" s="212">
        <v>1</v>
      </c>
      <c r="G188" s="62"/>
      <c r="H188" s="557"/>
      <c r="I188" s="740"/>
    </row>
    <row r="189" spans="1:9" customFormat="1" ht="15">
      <c r="A189" s="845"/>
      <c r="B189" s="302"/>
      <c r="C189" s="452"/>
      <c r="D189" s="235"/>
      <c r="E189" s="330"/>
      <c r="F189" s="212"/>
      <c r="G189" s="62"/>
      <c r="H189" s="557"/>
      <c r="I189" s="740"/>
    </row>
    <row r="190" spans="1:9" customFormat="1" ht="15">
      <c r="A190" s="845"/>
      <c r="B190" s="302"/>
      <c r="C190" s="452"/>
      <c r="D190" s="235"/>
      <c r="E190" s="778" t="s">
        <v>1770</v>
      </c>
      <c r="F190" s="212"/>
      <c r="G190" s="62"/>
      <c r="H190" s="557"/>
      <c r="I190" s="740"/>
    </row>
    <row r="191" spans="1:9" customFormat="1" ht="15">
      <c r="A191" s="845"/>
      <c r="B191" s="302"/>
      <c r="C191" s="452"/>
      <c r="D191" s="235"/>
      <c r="E191" s="330" t="s">
        <v>1894</v>
      </c>
      <c r="F191" s="212">
        <v>1</v>
      </c>
      <c r="G191" s="62"/>
      <c r="H191" s="557"/>
      <c r="I191" s="740"/>
    </row>
    <row r="192" spans="1:9" customFormat="1" ht="15">
      <c r="A192" s="845"/>
      <c r="B192" s="302"/>
      <c r="C192" s="452"/>
      <c r="D192" s="235"/>
      <c r="E192" s="330"/>
      <c r="F192" s="212"/>
      <c r="G192" s="62"/>
      <c r="H192" s="557"/>
      <c r="I192" s="740"/>
    </row>
    <row r="193" spans="1:9" customFormat="1" ht="15">
      <c r="A193" s="34">
        <f>MAX(A$1:A192)+1</f>
        <v>26</v>
      </c>
      <c r="B193" s="327"/>
      <c r="C193" s="37" t="s">
        <v>1895</v>
      </c>
      <c r="D193" s="37"/>
      <c r="E193" s="38" t="s">
        <v>1896</v>
      </c>
      <c r="F193" s="123"/>
      <c r="G193" s="40" t="s">
        <v>33</v>
      </c>
      <c r="H193" s="556">
        <v>27</v>
      </c>
      <c r="I193" s="740"/>
    </row>
    <row r="194" spans="1:9" customFormat="1" ht="21" customHeight="1">
      <c r="A194" s="72"/>
      <c r="B194" s="329"/>
      <c r="C194" s="66"/>
      <c r="D194" s="834" t="s">
        <v>1897</v>
      </c>
      <c r="E194" s="774" t="s">
        <v>1898</v>
      </c>
      <c r="F194" s="775"/>
      <c r="G194" s="776" t="s">
        <v>33</v>
      </c>
      <c r="H194" s="545">
        <v>27</v>
      </c>
      <c r="I194" s="740"/>
    </row>
    <row r="195" spans="1:9" customFormat="1" ht="25.5">
      <c r="A195" s="72"/>
      <c r="B195" s="329"/>
      <c r="C195" s="66"/>
      <c r="D195" s="834"/>
      <c r="E195" s="777" t="s">
        <v>1768</v>
      </c>
      <c r="F195" s="775"/>
      <c r="G195" s="776"/>
      <c r="H195" s="545"/>
      <c r="I195" s="740"/>
    </row>
    <row r="196" spans="1:9" customFormat="1" ht="15">
      <c r="A196" s="72"/>
      <c r="B196" s="329"/>
      <c r="C196" s="66"/>
      <c r="D196" s="431"/>
      <c r="E196" s="330" t="s">
        <v>1899</v>
      </c>
      <c r="F196" s="547">
        <v>19</v>
      </c>
      <c r="G196" s="512"/>
      <c r="H196" s="544"/>
      <c r="I196" s="740"/>
    </row>
    <row r="197" spans="1:9" customFormat="1" ht="15">
      <c r="A197" s="34"/>
      <c r="B197" s="327"/>
      <c r="C197" s="37"/>
      <c r="D197" s="37"/>
      <c r="E197" s="330" t="s">
        <v>1900</v>
      </c>
      <c r="F197" s="547"/>
      <c r="G197" s="40"/>
      <c r="H197" s="556"/>
      <c r="I197" s="740"/>
    </row>
    <row r="198" spans="1:9" customFormat="1" ht="15">
      <c r="A198" s="72"/>
      <c r="B198" s="329"/>
      <c r="C198" s="66"/>
      <c r="D198" s="66"/>
      <c r="E198" s="330" t="s">
        <v>1901</v>
      </c>
      <c r="F198" s="547"/>
      <c r="G198" s="62"/>
      <c r="H198" s="557"/>
      <c r="I198" s="740"/>
    </row>
    <row r="199" spans="1:9" customFormat="1" ht="15">
      <c r="A199" s="290"/>
      <c r="B199" s="328"/>
      <c r="C199" s="331"/>
      <c r="D199" s="332"/>
      <c r="E199" s="330" t="s">
        <v>1902</v>
      </c>
      <c r="F199" s="547"/>
      <c r="G199" s="333"/>
      <c r="H199" s="558"/>
      <c r="I199" s="740"/>
    </row>
    <row r="200" spans="1:9" customFormat="1" ht="15">
      <c r="A200" s="34"/>
      <c r="B200" s="327"/>
      <c r="C200" s="37"/>
      <c r="D200" s="37"/>
      <c r="E200" s="330" t="s">
        <v>1903</v>
      </c>
      <c r="F200" s="547"/>
      <c r="G200" s="40"/>
      <c r="H200" s="556"/>
      <c r="I200" s="740"/>
    </row>
    <row r="201" spans="1:9" customFormat="1" ht="15">
      <c r="A201" s="72"/>
      <c r="B201" s="329"/>
      <c r="C201" s="66"/>
      <c r="D201" s="66"/>
      <c r="E201" s="330" t="s">
        <v>1904</v>
      </c>
      <c r="F201" s="547"/>
      <c r="G201" s="62"/>
      <c r="H201" s="557"/>
      <c r="I201" s="740"/>
    </row>
    <row r="202" spans="1:9" customFormat="1" ht="15">
      <c r="A202" s="290"/>
      <c r="B202" s="328"/>
      <c r="C202" s="117"/>
      <c r="D202" s="37"/>
      <c r="E202" s="330" t="s">
        <v>1905</v>
      </c>
      <c r="F202" s="547"/>
      <c r="G202" s="40"/>
      <c r="H202" s="561"/>
      <c r="I202" s="740"/>
    </row>
    <row r="203" spans="1:9" customFormat="1" ht="15">
      <c r="A203" s="34"/>
      <c r="B203" s="327"/>
      <c r="C203" s="37"/>
      <c r="D203" s="37"/>
      <c r="E203" s="330" t="s">
        <v>1906</v>
      </c>
      <c r="F203" s="547"/>
      <c r="G203" s="40"/>
      <c r="H203" s="556"/>
      <c r="I203" s="740"/>
    </row>
    <row r="204" spans="1:9" customFormat="1" ht="15">
      <c r="A204" s="72"/>
      <c r="B204" s="329"/>
      <c r="C204" s="66"/>
      <c r="D204" s="66"/>
      <c r="E204" s="330" t="s">
        <v>1907</v>
      </c>
      <c r="F204" s="547"/>
      <c r="G204" s="62"/>
      <c r="H204" s="557"/>
      <c r="I204" s="740"/>
    </row>
    <row r="205" spans="1:9" customFormat="1" ht="15">
      <c r="A205" s="95"/>
      <c r="B205" s="35"/>
      <c r="C205" s="35"/>
      <c r="D205" s="94"/>
      <c r="E205" s="330" t="s">
        <v>1908</v>
      </c>
      <c r="F205" s="547"/>
      <c r="G205" s="514"/>
      <c r="H205" s="563"/>
      <c r="I205" s="740"/>
    </row>
    <row r="206" spans="1:9" customFormat="1" ht="15">
      <c r="A206" s="34"/>
      <c r="B206" s="327"/>
      <c r="C206" s="37"/>
      <c r="D206" s="37"/>
      <c r="E206" s="330" t="s">
        <v>1909</v>
      </c>
      <c r="F206" s="547"/>
      <c r="G206" s="40"/>
      <c r="H206" s="556"/>
      <c r="I206" s="740"/>
    </row>
    <row r="207" spans="1:9" customFormat="1" ht="15">
      <c r="A207" s="72"/>
      <c r="B207" s="329"/>
      <c r="C207" s="66"/>
      <c r="D207" s="66"/>
      <c r="E207" s="330" t="s">
        <v>1910</v>
      </c>
      <c r="F207" s="547"/>
      <c r="G207" s="62"/>
      <c r="H207" s="557"/>
      <c r="I207" s="740"/>
    </row>
    <row r="208" spans="1:9" customFormat="1" ht="15">
      <c r="A208" s="72"/>
      <c r="B208" s="197"/>
      <c r="C208" s="198"/>
      <c r="D208" s="199"/>
      <c r="E208" s="330" t="s">
        <v>1911</v>
      </c>
      <c r="F208" s="547"/>
      <c r="G208" s="295"/>
      <c r="H208" s="535"/>
      <c r="I208" s="740"/>
    </row>
    <row r="209" spans="1:9" customFormat="1" ht="25.5">
      <c r="A209" s="34"/>
      <c r="B209" s="327"/>
      <c r="C209" s="37"/>
      <c r="D209" s="37"/>
      <c r="E209" s="330" t="s">
        <v>1912</v>
      </c>
      <c r="F209" s="547"/>
      <c r="G209" s="40"/>
      <c r="H209" s="556"/>
      <c r="I209" s="740"/>
    </row>
    <row r="210" spans="1:9" customFormat="1" ht="15">
      <c r="A210" s="72"/>
      <c r="B210" s="329"/>
      <c r="C210" s="66"/>
      <c r="D210" s="66"/>
      <c r="E210" s="330" t="s">
        <v>1913</v>
      </c>
      <c r="F210" s="547"/>
      <c r="G210" s="62"/>
      <c r="H210" s="557"/>
      <c r="I210" s="740"/>
    </row>
    <row r="211" spans="1:9" customFormat="1" ht="15">
      <c r="A211" s="334"/>
      <c r="B211" s="194"/>
      <c r="C211" s="195"/>
      <c r="D211" s="196"/>
      <c r="E211" s="330" t="s">
        <v>1914</v>
      </c>
      <c r="F211" s="547"/>
      <c r="G211" s="286"/>
      <c r="H211" s="532"/>
      <c r="I211" s="740"/>
    </row>
    <row r="212" spans="1:9" customFormat="1" ht="15">
      <c r="A212" s="34"/>
      <c r="B212" s="836"/>
      <c r="C212" s="846"/>
      <c r="D212" s="846"/>
      <c r="E212" s="330" t="s">
        <v>1915</v>
      </c>
      <c r="F212" s="547"/>
      <c r="G212" s="847"/>
      <c r="H212" s="544"/>
      <c r="I212" s="740"/>
    </row>
    <row r="213" spans="1:9" customFormat="1" ht="15">
      <c r="A213" s="835"/>
      <c r="B213" s="836"/>
      <c r="C213" s="834"/>
      <c r="D213" s="773"/>
      <c r="E213" s="330" t="s">
        <v>1916</v>
      </c>
      <c r="F213" s="547"/>
      <c r="G213" s="776"/>
      <c r="H213" s="545"/>
      <c r="I213" s="740"/>
    </row>
    <row r="214" spans="1:9" customFormat="1" ht="15">
      <c r="A214" s="334"/>
      <c r="B214" s="440"/>
      <c r="C214" s="430"/>
      <c r="D214" s="431"/>
      <c r="E214" s="330" t="s">
        <v>1917</v>
      </c>
      <c r="F214" s="547"/>
      <c r="G214" s="512"/>
      <c r="H214" s="544"/>
      <c r="I214" s="740"/>
    </row>
    <row r="215" spans="1:9" customFormat="1" ht="15">
      <c r="A215" s="334"/>
      <c r="B215" s="440"/>
      <c r="C215" s="430"/>
      <c r="D215" s="431"/>
      <c r="E215" s="330" t="s">
        <v>1918</v>
      </c>
      <c r="F215" s="848"/>
      <c r="G215" s="512"/>
      <c r="H215" s="544"/>
      <c r="I215" s="740"/>
    </row>
    <row r="216" spans="1:9" customFormat="1" ht="15">
      <c r="A216" s="334"/>
      <c r="B216" s="440"/>
      <c r="C216" s="430"/>
      <c r="D216" s="431"/>
      <c r="E216" s="330"/>
      <c r="F216" s="547"/>
      <c r="G216" s="512"/>
      <c r="H216" s="544"/>
      <c r="I216" s="740"/>
    </row>
    <row r="217" spans="1:9" customFormat="1" ht="15">
      <c r="A217" s="334"/>
      <c r="B217" s="440"/>
      <c r="C217" s="430"/>
      <c r="D217" s="431"/>
      <c r="E217" s="330" t="s">
        <v>1919</v>
      </c>
      <c r="F217" s="547">
        <v>7</v>
      </c>
      <c r="G217" s="512"/>
      <c r="H217" s="544"/>
      <c r="I217" s="740"/>
    </row>
    <row r="218" spans="1:9" customFormat="1" ht="15">
      <c r="A218" s="334"/>
      <c r="B218" s="440"/>
      <c r="C218" s="430"/>
      <c r="D218" s="431"/>
      <c r="E218" s="330" t="s">
        <v>1920</v>
      </c>
      <c r="F218" s="547"/>
      <c r="G218" s="512"/>
      <c r="H218" s="544"/>
      <c r="I218" s="740"/>
    </row>
    <row r="219" spans="1:9" customFormat="1" ht="15">
      <c r="A219" s="334"/>
      <c r="B219" s="440"/>
      <c r="C219" s="430"/>
      <c r="D219" s="431"/>
      <c r="E219" s="330" t="s">
        <v>1921</v>
      </c>
      <c r="F219" s="547"/>
      <c r="G219" s="512"/>
      <c r="H219" s="544"/>
      <c r="I219" s="740"/>
    </row>
    <row r="220" spans="1:9" customFormat="1" ht="15">
      <c r="A220" s="334"/>
      <c r="B220" s="440"/>
      <c r="C220" s="430"/>
      <c r="D220" s="431"/>
      <c r="E220" s="330" t="s">
        <v>1905</v>
      </c>
      <c r="F220" s="547"/>
      <c r="G220" s="512"/>
      <c r="H220" s="544"/>
      <c r="I220" s="740"/>
    </row>
    <row r="221" spans="1:9" customFormat="1" ht="15">
      <c r="A221" s="334"/>
      <c r="B221" s="440"/>
      <c r="C221" s="430"/>
      <c r="D221" s="431"/>
      <c r="E221" s="330" t="s">
        <v>1922</v>
      </c>
      <c r="F221" s="547"/>
      <c r="G221" s="512"/>
      <c r="H221" s="544"/>
      <c r="I221" s="740"/>
    </row>
    <row r="222" spans="1:9" customFormat="1" ht="15">
      <c r="A222" s="334"/>
      <c r="B222" s="440"/>
      <c r="C222" s="430"/>
      <c r="D222" s="431"/>
      <c r="E222" s="330" t="s">
        <v>1923</v>
      </c>
      <c r="F222" s="547"/>
      <c r="G222" s="512"/>
      <c r="H222" s="544"/>
      <c r="I222" s="740"/>
    </row>
    <row r="223" spans="1:9" customFormat="1" ht="15">
      <c r="A223" s="334"/>
      <c r="B223" s="440"/>
      <c r="C223" s="430"/>
      <c r="D223" s="431"/>
      <c r="E223" s="330" t="s">
        <v>1905</v>
      </c>
      <c r="F223" s="547"/>
      <c r="G223" s="512"/>
      <c r="H223" s="544"/>
      <c r="I223" s="740"/>
    </row>
    <row r="224" spans="1:9" customFormat="1" ht="15">
      <c r="A224" s="334"/>
      <c r="B224" s="194"/>
      <c r="C224" s="195"/>
      <c r="D224" s="773"/>
      <c r="E224" s="330" t="s">
        <v>1924</v>
      </c>
      <c r="F224" s="775"/>
      <c r="G224" s="776"/>
      <c r="H224" s="545"/>
      <c r="I224" s="740"/>
    </row>
    <row r="225" spans="1:9" customFormat="1" ht="15">
      <c r="A225" s="334"/>
      <c r="B225" s="197"/>
      <c r="C225" s="198"/>
      <c r="D225" s="431"/>
      <c r="E225" s="330"/>
      <c r="F225" s="547"/>
      <c r="G225" s="512"/>
      <c r="H225" s="544"/>
      <c r="I225" s="740"/>
    </row>
    <row r="226" spans="1:9" customFormat="1" ht="15">
      <c r="A226" s="334"/>
      <c r="B226" s="197"/>
      <c r="C226" s="198"/>
      <c r="D226" s="199"/>
      <c r="E226" s="330" t="s">
        <v>1925</v>
      </c>
      <c r="F226" s="547">
        <v>1</v>
      </c>
      <c r="G226" s="62"/>
      <c r="H226" s="557"/>
      <c r="I226" s="740"/>
    </row>
    <row r="227" spans="1:9" customFormat="1" ht="15">
      <c r="A227" s="845"/>
      <c r="B227" s="302"/>
      <c r="C227" s="452"/>
      <c r="D227" s="235"/>
      <c r="E227" s="330"/>
      <c r="F227" s="212"/>
      <c r="G227" s="62"/>
      <c r="H227" s="557"/>
      <c r="I227" s="740"/>
    </row>
    <row r="228" spans="1:9" customFormat="1" ht="15">
      <c r="A228" s="845"/>
      <c r="B228" s="35" t="s">
        <v>1926</v>
      </c>
      <c r="C228" s="35"/>
      <c r="D228" s="94"/>
      <c r="E228" s="50" t="s">
        <v>1927</v>
      </c>
      <c r="F228" s="212"/>
      <c r="G228" s="62"/>
      <c r="H228" s="557"/>
      <c r="I228" s="740"/>
    </row>
    <row r="229" spans="1:9" customFormat="1" ht="15">
      <c r="A229" s="845"/>
      <c r="B229" s="302"/>
      <c r="C229" s="452"/>
      <c r="D229" s="235"/>
      <c r="E229" s="330"/>
      <c r="F229" s="212"/>
      <c r="G229" s="62"/>
      <c r="H229" s="557"/>
      <c r="I229" s="740"/>
    </row>
    <row r="230" spans="1:9" customFormat="1" ht="25.5">
      <c r="A230" s="34">
        <f>MAX(A$1:A229)+1</f>
        <v>27</v>
      </c>
      <c r="B230" s="302"/>
      <c r="C230" s="195">
        <v>91220301</v>
      </c>
      <c r="D230" s="518"/>
      <c r="E230" s="38" t="s">
        <v>598</v>
      </c>
      <c r="F230" s="568"/>
      <c r="G230" s="40" t="s">
        <v>36</v>
      </c>
      <c r="H230" s="556">
        <v>55</v>
      </c>
      <c r="I230" s="740"/>
    </row>
    <row r="231" spans="1:9" customFormat="1" ht="25.5">
      <c r="A231" s="845"/>
      <c r="B231" s="302"/>
      <c r="C231" s="452"/>
      <c r="D231" s="199">
        <v>9122030103</v>
      </c>
      <c r="E231" s="774" t="s">
        <v>646</v>
      </c>
      <c r="F231" s="212"/>
      <c r="G231" s="62" t="s">
        <v>36</v>
      </c>
      <c r="H231" s="557">
        <v>55</v>
      </c>
      <c r="I231" s="740"/>
    </row>
    <row r="232" spans="1:9" customFormat="1" ht="25.5">
      <c r="A232" s="845"/>
      <c r="B232" s="302"/>
      <c r="C232" s="452"/>
      <c r="D232" s="235"/>
      <c r="E232" s="777" t="s">
        <v>1768</v>
      </c>
      <c r="F232" s="212"/>
      <c r="G232" s="62"/>
      <c r="H232" s="557"/>
      <c r="I232" s="740"/>
    </row>
    <row r="233" spans="1:9" customFormat="1" ht="25.5">
      <c r="A233" s="845"/>
      <c r="B233" s="302"/>
      <c r="C233" s="452"/>
      <c r="D233" s="235"/>
      <c r="E233" s="330" t="s">
        <v>1928</v>
      </c>
      <c r="F233" s="212">
        <v>55</v>
      </c>
      <c r="G233" s="62"/>
      <c r="H233" s="557"/>
      <c r="I233" s="740"/>
    </row>
    <row r="234" spans="1:9" customFormat="1" ht="15">
      <c r="A234" s="798"/>
      <c r="B234" s="823"/>
      <c r="C234" s="828"/>
      <c r="D234" s="849"/>
      <c r="E234" s="850"/>
      <c r="F234" s="831"/>
      <c r="G234" s="829"/>
      <c r="H234" s="832"/>
      <c r="I234" s="740"/>
    </row>
    <row r="235" spans="1:9" customFormat="1" ht="15.75" thickBot="1">
      <c r="A235" s="851"/>
      <c r="B235" s="852"/>
      <c r="C235" s="853"/>
      <c r="D235" s="854"/>
      <c r="E235" s="855"/>
      <c r="F235" s="856"/>
      <c r="G235" s="857"/>
      <c r="H235" s="858"/>
      <c r="I235" s="740"/>
    </row>
    <row r="236" spans="1:9" customFormat="1" ht="15">
      <c r="A236" s="859"/>
      <c r="B236" s="782"/>
      <c r="C236" s="860"/>
      <c r="D236" s="861"/>
      <c r="E236" s="862"/>
      <c r="F236" s="863"/>
      <c r="G236" s="864"/>
      <c r="H236" s="865"/>
      <c r="I236" s="740"/>
    </row>
    <row r="237" spans="1:9" customFormat="1" ht="15">
      <c r="A237" s="782"/>
      <c r="B237" s="782"/>
      <c r="C237" s="860"/>
      <c r="D237" s="861"/>
      <c r="E237" s="866"/>
      <c r="F237" s="863"/>
      <c r="G237" s="864"/>
      <c r="H237" s="865"/>
      <c r="I237" s="740"/>
    </row>
    <row r="238" spans="1:9" customFormat="1" ht="15">
      <c r="A238" s="782"/>
      <c r="B238" s="782"/>
      <c r="C238" s="860"/>
      <c r="D238" s="861"/>
      <c r="E238" s="862"/>
      <c r="F238" s="863"/>
      <c r="G238" s="864"/>
      <c r="H238" s="865"/>
      <c r="I238" s="740"/>
    </row>
    <row r="239" spans="1:9" customFormat="1" ht="15">
      <c r="A239" s="782"/>
      <c r="B239" s="782"/>
      <c r="C239" s="860"/>
      <c r="D239" s="861"/>
      <c r="E239" s="867"/>
      <c r="F239" s="868"/>
      <c r="G239" s="864"/>
      <c r="H239" s="865"/>
      <c r="I239" s="740"/>
    </row>
    <row r="240" spans="1:9" customFormat="1" ht="15">
      <c r="A240" s="782"/>
      <c r="B240" s="782"/>
      <c r="C240" s="860"/>
      <c r="D240" s="861"/>
      <c r="E240" s="862"/>
      <c r="F240" s="863"/>
      <c r="G240" s="864"/>
      <c r="H240" s="865"/>
      <c r="I240" s="740"/>
    </row>
    <row r="241" spans="1:9" customFormat="1" ht="15">
      <c r="A241" s="782"/>
      <c r="B241" s="782"/>
      <c r="C241" s="860"/>
      <c r="D241" s="861"/>
      <c r="E241" s="869"/>
      <c r="F241" s="863"/>
      <c r="G241" s="864"/>
      <c r="H241" s="865"/>
      <c r="I241" s="740"/>
    </row>
    <row r="242" spans="1:9" customFormat="1" ht="15">
      <c r="A242" s="870"/>
      <c r="B242" s="782"/>
      <c r="C242" s="860"/>
      <c r="D242" s="861"/>
      <c r="E242" s="862"/>
      <c r="F242" s="863"/>
      <c r="G242" s="864"/>
      <c r="H242" s="865"/>
      <c r="I242" s="740"/>
    </row>
    <row r="243" spans="1:9" customFormat="1" ht="15">
      <c r="A243" s="870"/>
      <c r="B243" s="782"/>
      <c r="C243" s="860"/>
      <c r="D243" s="861"/>
      <c r="E243" s="871"/>
      <c r="F243" s="863"/>
      <c r="G243" s="864"/>
      <c r="H243" s="865"/>
      <c r="I243" s="740"/>
    </row>
    <row r="244" spans="1:9" customFormat="1" ht="15">
      <c r="A244" s="870"/>
      <c r="B244" s="782"/>
      <c r="C244" s="860"/>
      <c r="D244" s="861"/>
      <c r="E244" s="866"/>
      <c r="F244" s="872"/>
      <c r="G244" s="864"/>
      <c r="H244" s="865"/>
      <c r="I244" s="740"/>
    </row>
    <row r="245" spans="1:9" customFormat="1" ht="15">
      <c r="A245" s="870"/>
      <c r="B245" s="782"/>
      <c r="C245" s="860"/>
      <c r="D245" s="861"/>
      <c r="E245" s="862"/>
      <c r="F245" s="863"/>
      <c r="G245" s="864"/>
      <c r="H245" s="865"/>
      <c r="I245" s="740"/>
    </row>
    <row r="246" spans="1:9" customFormat="1" ht="15">
      <c r="A246" s="873"/>
      <c r="B246" s="874"/>
      <c r="C246" s="875"/>
      <c r="D246" s="874"/>
      <c r="E246" s="876"/>
      <c r="F246" s="877"/>
      <c r="G246" s="788"/>
      <c r="H246" s="739"/>
      <c r="I246" s="740"/>
    </row>
    <row r="247" spans="1:9" customFormat="1" ht="15">
      <c r="A247" s="878"/>
      <c r="B247" s="879"/>
      <c r="C247" s="880"/>
      <c r="D247" s="879"/>
      <c r="E247" s="881"/>
      <c r="F247" s="882"/>
      <c r="G247" s="883"/>
      <c r="H247" s="884"/>
      <c r="I247" s="740"/>
    </row>
    <row r="248" spans="1:9" customFormat="1" ht="15">
      <c r="A248" s="885"/>
      <c r="B248" s="759"/>
      <c r="C248" s="860"/>
      <c r="D248" s="860"/>
      <c r="E248" s="886"/>
      <c r="F248" s="887"/>
      <c r="G248" s="888"/>
      <c r="H248" s="889"/>
      <c r="I248" s="740"/>
    </row>
    <row r="249" spans="1:9" customFormat="1" ht="15">
      <c r="A249" s="870"/>
      <c r="B249" s="782"/>
      <c r="C249" s="860"/>
      <c r="D249" s="861"/>
      <c r="E249" s="862"/>
      <c r="F249" s="863"/>
      <c r="G249" s="864"/>
      <c r="H249" s="865"/>
      <c r="I249" s="740"/>
    </row>
    <row r="250" spans="1:9" customFormat="1" ht="15">
      <c r="A250" s="870"/>
      <c r="B250" s="782"/>
      <c r="C250" s="860"/>
      <c r="D250" s="861"/>
      <c r="E250" s="890"/>
      <c r="F250" s="868"/>
      <c r="G250" s="864"/>
      <c r="H250" s="865"/>
      <c r="I250" s="740"/>
    </row>
    <row r="251" spans="1:9" customFormat="1" ht="15">
      <c r="A251" s="870"/>
      <c r="B251" s="782"/>
      <c r="C251" s="860"/>
      <c r="D251" s="861"/>
      <c r="E251" s="890"/>
      <c r="F251" s="868"/>
      <c r="G251" s="864"/>
      <c r="H251" s="865"/>
      <c r="I251" s="740"/>
    </row>
    <row r="252" spans="1:9" customFormat="1" ht="15">
      <c r="A252" s="870"/>
      <c r="B252" s="782"/>
      <c r="C252" s="860"/>
      <c r="D252" s="861"/>
      <c r="E252" s="862"/>
      <c r="F252" s="863"/>
      <c r="G252" s="864"/>
      <c r="H252" s="865"/>
      <c r="I252" s="740"/>
    </row>
    <row r="253" spans="1:9" customFormat="1" ht="15">
      <c r="A253" s="885"/>
      <c r="B253" s="875"/>
      <c r="C253" s="891"/>
      <c r="D253" s="891"/>
      <c r="E253" s="892"/>
      <c r="F253" s="893"/>
      <c r="G253" s="888"/>
      <c r="H253" s="894"/>
      <c r="I253" s="740"/>
    </row>
    <row r="254" spans="1:9" customFormat="1" ht="15">
      <c r="A254" s="873"/>
      <c r="B254" s="875"/>
      <c r="C254" s="875"/>
      <c r="D254" s="895"/>
      <c r="E254" s="896"/>
      <c r="F254" s="897"/>
      <c r="G254" s="864"/>
      <c r="H254" s="739"/>
      <c r="I254" s="740"/>
    </row>
    <row r="255" spans="1:9" customFormat="1" ht="15">
      <c r="A255" s="873"/>
      <c r="B255" s="875"/>
      <c r="C255" s="875"/>
      <c r="D255" s="895"/>
      <c r="E255" s="898"/>
      <c r="F255" s="868"/>
      <c r="G255" s="899"/>
      <c r="H255" s="739"/>
      <c r="I255" s="740"/>
    </row>
    <row r="256" spans="1:9" customFormat="1" ht="15">
      <c r="A256" s="870"/>
      <c r="B256" s="782"/>
      <c r="C256" s="860"/>
      <c r="D256" s="861"/>
      <c r="E256" s="900"/>
      <c r="F256" s="863"/>
      <c r="G256" s="864"/>
      <c r="H256" s="865"/>
      <c r="I256" s="740"/>
    </row>
    <row r="257" spans="1:9" customFormat="1" ht="15">
      <c r="A257" s="870"/>
      <c r="B257" s="782"/>
      <c r="C257" s="860"/>
      <c r="D257" s="861"/>
      <c r="E257" s="900"/>
      <c r="F257" s="863"/>
      <c r="G257" s="864"/>
      <c r="H257" s="865"/>
      <c r="I257" s="740"/>
    </row>
    <row r="258" spans="1:9" customFormat="1" ht="15">
      <c r="A258" s="870"/>
      <c r="B258" s="782"/>
      <c r="C258" s="860"/>
      <c r="D258" s="861"/>
      <c r="E258" s="862"/>
      <c r="F258" s="863"/>
      <c r="G258" s="864"/>
      <c r="H258" s="865"/>
      <c r="I258" s="740"/>
    </row>
    <row r="259" spans="1:9" customFormat="1" ht="15">
      <c r="A259" s="870"/>
      <c r="B259" s="782"/>
      <c r="C259" s="860"/>
      <c r="D259" s="861"/>
      <c r="E259" s="862"/>
      <c r="F259" s="863"/>
      <c r="G259" s="864"/>
      <c r="H259" s="865"/>
      <c r="I259" s="740"/>
    </row>
    <row r="260" spans="1:9" customFormat="1" ht="15">
      <c r="A260" s="870"/>
      <c r="B260" s="782"/>
      <c r="C260" s="860"/>
      <c r="D260" s="861"/>
      <c r="E260" s="862"/>
      <c r="F260" s="863"/>
      <c r="G260" s="864"/>
      <c r="H260" s="865"/>
      <c r="I260" s="740"/>
    </row>
    <row r="261" spans="1:9" customFormat="1" ht="15">
      <c r="A261" s="901"/>
      <c r="B261" s="888"/>
      <c r="C261" s="902"/>
      <c r="D261" s="902"/>
      <c r="E261" s="902"/>
      <c r="F261" s="903"/>
      <c r="G261" s="904"/>
      <c r="H261" s="905"/>
      <c r="I261" s="740"/>
    </row>
    <row r="262" spans="1:9" customFormat="1" ht="15">
      <c r="A262" s="901"/>
      <c r="B262" s="888"/>
      <c r="C262" s="902"/>
      <c r="D262" s="902"/>
      <c r="E262" s="902"/>
      <c r="F262" s="903"/>
      <c r="G262" s="904"/>
      <c r="H262" s="905"/>
      <c r="I262" s="740"/>
    </row>
    <row r="263" spans="1:9" customFormat="1" ht="15">
      <c r="A263" s="901"/>
      <c r="B263" s="888"/>
      <c r="C263" s="759"/>
      <c r="D263" s="862"/>
      <c r="E263" s="862"/>
      <c r="F263" s="747"/>
      <c r="G263" s="864"/>
      <c r="H263" s="905"/>
      <c r="I263" s="740"/>
    </row>
  </sheetData>
  <sheetProtection algorithmName="SHA-512" hashValue="L4Hafaa5Yrb7jWtzwkShVKos3vZhQCiHhcS6XiAUvE7CF6LljRf1MMELvxqra+1BXH/fa+sIYI5CalxEu83j4g==" saltValue="mKbu1F4AuSB9NAk0xXI3i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667F1-61FF-4D12-83F0-72B57FB17241}">
  <sheetPr codeName="Hárok11"/>
  <dimension ref="A1:I18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8">
      <c r="A1" s="2" t="s">
        <v>1</v>
      </c>
      <c r="B1" s="2"/>
      <c r="C1" s="3"/>
      <c r="D1" s="4"/>
      <c r="E1" s="5" t="s">
        <v>1931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1274</v>
      </c>
      <c r="G2" s="11"/>
      <c r="H2" s="12"/>
    </row>
    <row r="3" spans="1:8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8">
      <c r="A5" s="907"/>
      <c r="B5" s="908"/>
      <c r="C5" s="908"/>
      <c r="D5" s="908"/>
      <c r="E5" s="687"/>
      <c r="F5" s="909"/>
      <c r="G5" s="910"/>
      <c r="H5" s="688"/>
    </row>
    <row r="6" spans="1:8">
      <c r="A6" s="299"/>
      <c r="B6" s="24" t="s">
        <v>11</v>
      </c>
      <c r="C6" s="25"/>
      <c r="D6" s="26"/>
      <c r="E6" s="27" t="s">
        <v>12</v>
      </c>
      <c r="F6" s="27"/>
      <c r="G6" s="114"/>
      <c r="H6" s="604"/>
    </row>
    <row r="7" spans="1:8">
      <c r="A7" s="299"/>
      <c r="B7" s="31"/>
      <c r="C7" s="31"/>
      <c r="D7" s="32"/>
      <c r="E7" s="33"/>
      <c r="F7" s="28"/>
      <c r="G7" s="29"/>
      <c r="H7" s="604"/>
    </row>
    <row r="8" spans="1:8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16">
        <v>29.920000000000005</v>
      </c>
    </row>
    <row r="9" spans="1:8">
      <c r="A9" s="145"/>
      <c r="B9" s="31"/>
      <c r="C9" s="31"/>
      <c r="D9" s="32"/>
      <c r="E9" s="33"/>
      <c r="F9" s="81">
        <f>F31</f>
        <v>29.920000000000005</v>
      </c>
      <c r="G9" s="29"/>
      <c r="H9" s="604"/>
    </row>
    <row r="10" spans="1:8">
      <c r="A10" s="145"/>
      <c r="B10" s="31"/>
      <c r="C10" s="31"/>
      <c r="D10" s="32"/>
      <c r="E10" s="33"/>
      <c r="F10" s="28"/>
      <c r="G10" s="29"/>
      <c r="H10" s="604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16">
        <v>7.18</v>
      </c>
    </row>
    <row r="12" spans="1:8">
      <c r="A12" s="299"/>
      <c r="B12" s="31"/>
      <c r="C12" s="31"/>
      <c r="D12" s="32"/>
      <c r="E12" s="33"/>
      <c r="F12" s="81">
        <f>F81</f>
        <v>7.178125000000005</v>
      </c>
      <c r="G12" s="29"/>
      <c r="H12" s="604"/>
    </row>
    <row r="13" spans="1:8">
      <c r="A13" s="299"/>
      <c r="B13" s="119"/>
      <c r="C13" s="119"/>
      <c r="D13" s="119"/>
      <c r="E13" s="323"/>
      <c r="F13" s="692"/>
      <c r="G13" s="296"/>
      <c r="H13" s="604"/>
    </row>
    <row r="14" spans="1:8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604"/>
    </row>
    <row r="15" spans="1:8">
      <c r="A15" s="145"/>
      <c r="B15" s="31"/>
      <c r="C15" s="31"/>
      <c r="D15" s="32"/>
      <c r="E15" s="33"/>
      <c r="F15" s="81"/>
      <c r="G15" s="29"/>
      <c r="H15" s="604"/>
    </row>
    <row r="16" spans="1:8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16">
        <v>13.600000000000001</v>
      </c>
    </row>
    <row r="17" spans="1:9" ht="25.5">
      <c r="A17" s="145"/>
      <c r="B17" s="31"/>
      <c r="C17" s="31"/>
      <c r="D17" s="32"/>
      <c r="E17" s="77" t="s">
        <v>1932</v>
      </c>
      <c r="F17" s="81">
        <f>0.5*0.5*0.8*15</f>
        <v>3</v>
      </c>
      <c r="G17" s="29"/>
      <c r="H17" s="604"/>
    </row>
    <row r="18" spans="1:9" ht="25.5">
      <c r="A18" s="145"/>
      <c r="B18" s="31"/>
      <c r="C18" s="31"/>
      <c r="D18" s="32"/>
      <c r="E18" s="77" t="s">
        <v>1933</v>
      </c>
      <c r="F18" s="133">
        <f>0.5*0.5*0.8*53</f>
        <v>10.600000000000001</v>
      </c>
      <c r="G18" s="29"/>
      <c r="H18" s="604"/>
    </row>
    <row r="19" spans="1:9">
      <c r="A19" s="145"/>
      <c r="B19" s="31"/>
      <c r="C19" s="31"/>
      <c r="D19" s="32"/>
      <c r="E19" s="77"/>
      <c r="F19" s="81">
        <f>SUM(F17:F18)</f>
        <v>13.600000000000001</v>
      </c>
      <c r="G19" s="29"/>
      <c r="H19" s="604"/>
    </row>
    <row r="20" spans="1:9">
      <c r="A20" s="145"/>
      <c r="B20" s="31"/>
      <c r="C20" s="31"/>
      <c r="D20" s="32"/>
      <c r="E20" s="33"/>
      <c r="F20" s="81"/>
      <c r="G20" s="29"/>
      <c r="H20" s="604"/>
    </row>
    <row r="21" spans="1:9" ht="30.75" customHeight="1">
      <c r="A21" s="34">
        <f>MAX(A$1:A16)+1</f>
        <v>4</v>
      </c>
      <c r="B21" s="43"/>
      <c r="C21" s="36" t="s">
        <v>34</v>
      </c>
      <c r="D21" s="37"/>
      <c r="E21" s="38" t="s">
        <v>35</v>
      </c>
      <c r="F21" s="39"/>
      <c r="G21" s="40" t="s">
        <v>36</v>
      </c>
      <c r="H21" s="166">
        <v>255</v>
      </c>
      <c r="I21" s="120"/>
    </row>
    <row r="22" spans="1:9" ht="25.5">
      <c r="A22" s="145"/>
      <c r="B22" s="31"/>
      <c r="C22" s="31"/>
      <c r="D22" s="32"/>
      <c r="E22" s="77" t="s">
        <v>1934</v>
      </c>
      <c r="F22" s="81">
        <v>100</v>
      </c>
      <c r="G22" s="29"/>
      <c r="H22" s="604"/>
    </row>
    <row r="23" spans="1:9" ht="25.5">
      <c r="A23" s="145"/>
      <c r="B23" s="31"/>
      <c r="C23" s="31"/>
      <c r="D23" s="32"/>
      <c r="E23" s="77" t="s">
        <v>1935</v>
      </c>
      <c r="F23" s="133">
        <v>155</v>
      </c>
      <c r="G23" s="29"/>
      <c r="H23" s="604"/>
    </row>
    <row r="24" spans="1:9">
      <c r="A24" s="145"/>
      <c r="B24" s="31"/>
      <c r="C24" s="31"/>
      <c r="D24" s="32"/>
      <c r="E24" s="77"/>
      <c r="F24" s="81">
        <f>SUM(F22:F23)</f>
        <v>255</v>
      </c>
      <c r="G24" s="29"/>
      <c r="H24" s="604"/>
    </row>
    <row r="25" spans="1:9">
      <c r="A25" s="145"/>
      <c r="B25" s="31"/>
      <c r="C25" s="31"/>
      <c r="D25" s="32"/>
      <c r="E25" s="33"/>
      <c r="F25" s="81"/>
      <c r="G25" s="29"/>
      <c r="H25" s="604"/>
    </row>
    <row r="26" spans="1:9">
      <c r="A26" s="34">
        <f>MAX(A$1:A25)+1</f>
        <v>5</v>
      </c>
      <c r="B26" s="31"/>
      <c r="C26" s="36" t="s">
        <v>37</v>
      </c>
      <c r="D26" s="37"/>
      <c r="E26" s="38" t="s">
        <v>38</v>
      </c>
      <c r="F26" s="39"/>
      <c r="G26" s="40" t="s">
        <v>15</v>
      </c>
      <c r="H26" s="116">
        <v>35.280000000000008</v>
      </c>
      <c r="I26" s="120"/>
    </row>
    <row r="27" spans="1:9">
      <c r="A27" s="145"/>
      <c r="B27" s="31"/>
      <c r="C27" s="66"/>
      <c r="D27" s="67" t="s">
        <v>39</v>
      </c>
      <c r="E27" s="71" t="s">
        <v>40</v>
      </c>
      <c r="F27" s="61"/>
      <c r="G27" s="62" t="s">
        <v>15</v>
      </c>
      <c r="H27" s="118">
        <v>35.280000000000008</v>
      </c>
    </row>
    <row r="28" spans="1:9">
      <c r="A28" s="145"/>
      <c r="B28" s="31"/>
      <c r="C28" s="31"/>
      <c r="D28" s="32"/>
      <c r="E28" s="121" t="s">
        <v>71</v>
      </c>
      <c r="F28" s="81"/>
      <c r="G28" s="29"/>
      <c r="H28" s="604"/>
    </row>
    <row r="29" spans="1:9" ht="25.5">
      <c r="A29" s="145"/>
      <c r="B29" s="31"/>
      <c r="C29" s="31"/>
      <c r="D29" s="32"/>
      <c r="E29" s="77" t="s">
        <v>1936</v>
      </c>
      <c r="F29" s="81">
        <f>F17*2.2</f>
        <v>6.6000000000000005</v>
      </c>
      <c r="G29" s="29"/>
      <c r="H29" s="604"/>
    </row>
    <row r="30" spans="1:9" ht="25.5">
      <c r="A30" s="145"/>
      <c r="B30" s="31"/>
      <c r="C30" s="31"/>
      <c r="D30" s="32"/>
      <c r="E30" s="77" t="s">
        <v>1937</v>
      </c>
      <c r="F30" s="133">
        <f>F18*2.2</f>
        <v>23.320000000000004</v>
      </c>
      <c r="G30" s="29"/>
      <c r="H30" s="604"/>
    </row>
    <row r="31" spans="1:9">
      <c r="A31" s="145"/>
      <c r="B31" s="31"/>
      <c r="C31" s="31"/>
      <c r="D31" s="32"/>
      <c r="E31" s="77"/>
      <c r="F31" s="81">
        <f>SUM(F29:F30)</f>
        <v>29.920000000000005</v>
      </c>
      <c r="G31" s="29"/>
      <c r="H31" s="604"/>
    </row>
    <row r="32" spans="1:9">
      <c r="A32" s="145"/>
      <c r="B32" s="31"/>
      <c r="C32" s="31"/>
      <c r="D32" s="32"/>
      <c r="E32" s="77"/>
      <c r="F32" s="81"/>
      <c r="G32" s="29"/>
      <c r="H32" s="604"/>
    </row>
    <row r="33" spans="1:8">
      <c r="A33" s="145"/>
      <c r="B33" s="31"/>
      <c r="C33" s="31"/>
      <c r="D33" s="32"/>
      <c r="E33" s="121" t="s">
        <v>142</v>
      </c>
      <c r="F33" s="81"/>
      <c r="G33" s="29"/>
      <c r="H33" s="604"/>
    </row>
    <row r="34" spans="1:8" ht="25.5">
      <c r="A34" s="145"/>
      <c r="B34" s="31"/>
      <c r="C34" s="31"/>
      <c r="D34" s="32"/>
      <c r="E34" s="77" t="s">
        <v>1938</v>
      </c>
      <c r="F34" s="81">
        <f>F22*0.035</f>
        <v>3.5000000000000004</v>
      </c>
      <c r="G34" s="29"/>
      <c r="H34" s="604"/>
    </row>
    <row r="35" spans="1:8" ht="25.5">
      <c r="A35" s="145"/>
      <c r="B35" s="31"/>
      <c r="C35" s="31"/>
      <c r="D35" s="32"/>
      <c r="E35" s="77" t="s">
        <v>1939</v>
      </c>
      <c r="F35" s="133">
        <f>F23*0.012</f>
        <v>1.86</v>
      </c>
      <c r="G35" s="29"/>
      <c r="H35" s="604"/>
    </row>
    <row r="36" spans="1:8">
      <c r="A36" s="145"/>
      <c r="B36" s="31"/>
      <c r="C36" s="31"/>
      <c r="D36" s="32"/>
      <c r="E36" s="77"/>
      <c r="F36" s="81">
        <f>SUM(F34:F35)</f>
        <v>5.36</v>
      </c>
      <c r="G36" s="29"/>
      <c r="H36" s="604"/>
    </row>
    <row r="37" spans="1:8">
      <c r="A37" s="145"/>
      <c r="B37" s="31"/>
      <c r="C37" s="31"/>
      <c r="D37" s="32"/>
      <c r="E37" s="91" t="s">
        <v>41</v>
      </c>
      <c r="F37" s="151">
        <f>F31+F36</f>
        <v>35.280000000000008</v>
      </c>
      <c r="G37" s="29"/>
      <c r="H37" s="604"/>
    </row>
    <row r="38" spans="1:8">
      <c r="A38" s="299"/>
      <c r="B38" s="119"/>
      <c r="C38" s="119"/>
      <c r="D38" s="119"/>
      <c r="E38" s="323"/>
      <c r="F38" s="692"/>
      <c r="G38" s="296"/>
      <c r="H38" s="604"/>
    </row>
    <row r="39" spans="1:8">
      <c r="A39" s="609"/>
      <c r="B39" s="35" t="s">
        <v>54</v>
      </c>
      <c r="C39" s="93"/>
      <c r="D39" s="94"/>
      <c r="E39" s="50" t="s">
        <v>55</v>
      </c>
      <c r="F39" s="613"/>
      <c r="G39" s="614"/>
      <c r="H39" s="615"/>
    </row>
    <row r="40" spans="1:8">
      <c r="A40" s="609"/>
      <c r="B40" s="616"/>
      <c r="C40" s="617"/>
      <c r="D40" s="617"/>
      <c r="E40" s="618"/>
      <c r="F40" s="613"/>
      <c r="G40" s="614"/>
      <c r="H40" s="615"/>
    </row>
    <row r="41" spans="1:8">
      <c r="A41" s="34">
        <f>MAX(A$1:A40)+1</f>
        <v>6</v>
      </c>
      <c r="B41" s="616"/>
      <c r="C41" s="36" t="s">
        <v>400</v>
      </c>
      <c r="D41" s="37"/>
      <c r="E41" s="38" t="s">
        <v>401</v>
      </c>
      <c r="F41" s="232"/>
      <c r="G41" s="243" t="s">
        <v>18</v>
      </c>
      <c r="H41" s="623">
        <v>29.74</v>
      </c>
    </row>
    <row r="42" spans="1:8">
      <c r="A42" s="609"/>
      <c r="B42" s="616"/>
      <c r="C42" s="617"/>
      <c r="D42" s="67" t="s">
        <v>402</v>
      </c>
      <c r="E42" s="71" t="s">
        <v>403</v>
      </c>
      <c r="F42" s="61"/>
      <c r="G42" s="62" t="s">
        <v>18</v>
      </c>
      <c r="H42" s="615">
        <v>29.74</v>
      </c>
    </row>
    <row r="43" spans="1:8">
      <c r="A43" s="609"/>
      <c r="B43" s="616"/>
      <c r="C43" s="617"/>
      <c r="D43" s="624"/>
      <c r="E43" s="911" t="s">
        <v>1940</v>
      </c>
      <c r="F43" s="912"/>
      <c r="G43" s="628"/>
      <c r="H43" s="615"/>
    </row>
    <row r="44" spans="1:8">
      <c r="A44" s="609"/>
      <c r="B44" s="616"/>
      <c r="C44" s="617"/>
      <c r="D44" s="624"/>
      <c r="E44" s="627" t="s">
        <v>1941</v>
      </c>
      <c r="F44" s="912">
        <f>0.6*0.6*0.8*1</f>
        <v>0.28799999999999998</v>
      </c>
      <c r="G44" s="628"/>
      <c r="H44" s="615"/>
    </row>
    <row r="45" spans="1:8">
      <c r="A45" s="609"/>
      <c r="B45" s="616"/>
      <c r="C45" s="617"/>
      <c r="D45" s="624"/>
      <c r="E45" s="627" t="s">
        <v>1942</v>
      </c>
      <c r="F45" s="912">
        <f>0.35*0.55*0.35*1</f>
        <v>6.737499999999999E-2</v>
      </c>
      <c r="G45" s="628"/>
      <c r="H45" s="615"/>
    </row>
    <row r="46" spans="1:8">
      <c r="A46" s="609"/>
      <c r="B46" s="616"/>
      <c r="C46" s="617"/>
      <c r="D46" s="624"/>
      <c r="E46" s="627" t="s">
        <v>1943</v>
      </c>
      <c r="F46" s="913">
        <f>0.6*0.6*0.6*1</f>
        <v>0.216</v>
      </c>
      <c r="G46" s="628"/>
      <c r="H46" s="615"/>
    </row>
    <row r="47" spans="1:8">
      <c r="A47" s="609"/>
      <c r="B47" s="616"/>
      <c r="C47" s="617"/>
      <c r="D47" s="624"/>
      <c r="E47" s="627"/>
      <c r="F47" s="912">
        <f>SUM(F44:F46)</f>
        <v>0.57137499999999997</v>
      </c>
      <c r="G47" s="628"/>
      <c r="H47" s="615"/>
    </row>
    <row r="48" spans="1:8">
      <c r="A48" s="609"/>
      <c r="B48" s="616"/>
      <c r="C48" s="617"/>
      <c r="D48" s="624"/>
      <c r="E48" s="627"/>
      <c r="F48" s="912"/>
      <c r="G48" s="628"/>
      <c r="H48" s="615"/>
    </row>
    <row r="49" spans="1:8">
      <c r="A49" s="609"/>
      <c r="B49" s="616"/>
      <c r="C49" s="617"/>
      <c r="D49" s="624"/>
      <c r="E49" s="911" t="s">
        <v>1944</v>
      </c>
      <c r="F49" s="912"/>
      <c r="G49" s="628"/>
      <c r="H49" s="615"/>
    </row>
    <row r="50" spans="1:8">
      <c r="A50" s="609"/>
      <c r="B50" s="616"/>
      <c r="C50" s="617"/>
      <c r="D50" s="624"/>
      <c r="E50" s="627" t="s">
        <v>1945</v>
      </c>
      <c r="F50" s="912">
        <f>0.6*0.6*0.8*1</f>
        <v>0.28799999999999998</v>
      </c>
      <c r="G50" s="628"/>
      <c r="H50" s="615"/>
    </row>
    <row r="51" spans="1:8">
      <c r="A51" s="609"/>
      <c r="B51" s="616"/>
      <c r="C51" s="617"/>
      <c r="D51" s="624"/>
      <c r="E51" s="627" t="s">
        <v>1942</v>
      </c>
      <c r="F51" s="912">
        <f>0.35*0.55*0.35*1</f>
        <v>6.737499999999999E-2</v>
      </c>
      <c r="G51" s="628"/>
      <c r="H51" s="615"/>
    </row>
    <row r="52" spans="1:8">
      <c r="A52" s="609"/>
      <c r="B52" s="616"/>
      <c r="C52" s="617"/>
      <c r="D52" s="624"/>
      <c r="E52" s="627" t="s">
        <v>1943</v>
      </c>
      <c r="F52" s="913">
        <f>0.6*0.6*0.6*1</f>
        <v>0.216</v>
      </c>
      <c r="G52" s="628"/>
      <c r="H52" s="615"/>
    </row>
    <row r="53" spans="1:8">
      <c r="A53" s="609"/>
      <c r="B53" s="616"/>
      <c r="C53" s="617"/>
      <c r="D53" s="624"/>
      <c r="E53" s="627"/>
      <c r="F53" s="912">
        <f>SUM(F50:F52)</f>
        <v>0.57137499999999997</v>
      </c>
      <c r="G53" s="628"/>
      <c r="H53" s="615"/>
    </row>
    <row r="54" spans="1:8">
      <c r="A54" s="609"/>
      <c r="B54" s="616"/>
      <c r="C54" s="617"/>
      <c r="D54" s="624"/>
      <c r="E54" s="627"/>
      <c r="F54" s="912"/>
      <c r="G54" s="628"/>
      <c r="H54" s="615"/>
    </row>
    <row r="55" spans="1:8">
      <c r="A55" s="609"/>
      <c r="B55" s="616"/>
      <c r="C55" s="617"/>
      <c r="D55" s="624"/>
      <c r="E55" s="911" t="s">
        <v>1946</v>
      </c>
      <c r="F55" s="912"/>
      <c r="G55" s="628"/>
      <c r="H55" s="615"/>
    </row>
    <row r="56" spans="1:8">
      <c r="A56" s="609"/>
      <c r="B56" s="616"/>
      <c r="C56" s="617"/>
      <c r="D56" s="624"/>
      <c r="E56" s="627" t="s">
        <v>1942</v>
      </c>
      <c r="F56" s="912">
        <f>0.35*0.55*0.35*1</f>
        <v>6.737499999999999E-2</v>
      </c>
      <c r="G56" s="628"/>
      <c r="H56" s="615"/>
    </row>
    <row r="57" spans="1:8">
      <c r="A57" s="609"/>
      <c r="B57" s="616"/>
      <c r="C57" s="617"/>
      <c r="D57" s="624"/>
      <c r="E57" s="627" t="s">
        <v>1943</v>
      </c>
      <c r="F57" s="913">
        <f>0.6*0.6*0.6*1</f>
        <v>0.216</v>
      </c>
      <c r="G57" s="628"/>
      <c r="H57" s="615"/>
    </row>
    <row r="58" spans="1:8">
      <c r="A58" s="609"/>
      <c r="B58" s="616"/>
      <c r="C58" s="617"/>
      <c r="D58" s="624"/>
      <c r="E58" s="627"/>
      <c r="F58" s="912">
        <f>SUM(F56:F57)</f>
        <v>0.28337499999999999</v>
      </c>
      <c r="G58" s="628"/>
      <c r="H58" s="615"/>
    </row>
    <row r="59" spans="1:8">
      <c r="A59" s="609"/>
      <c r="B59" s="616"/>
      <c r="C59" s="617"/>
      <c r="D59" s="624"/>
      <c r="E59" s="914"/>
      <c r="F59" s="915"/>
      <c r="G59" s="628"/>
      <c r="H59" s="615"/>
    </row>
    <row r="60" spans="1:8">
      <c r="A60" s="609"/>
      <c r="B60" s="616"/>
      <c r="C60" s="617"/>
      <c r="D60" s="624"/>
      <c r="E60" s="911" t="s">
        <v>1947</v>
      </c>
      <c r="F60" s="912"/>
      <c r="G60" s="628"/>
      <c r="H60" s="615"/>
    </row>
    <row r="61" spans="1:8">
      <c r="A61" s="609"/>
      <c r="B61" s="616"/>
      <c r="C61" s="617"/>
      <c r="D61" s="624"/>
      <c r="E61" s="627" t="s">
        <v>1943</v>
      </c>
      <c r="F61" s="912">
        <f>0.6*0.6*0.6*1</f>
        <v>0.216</v>
      </c>
      <c r="G61" s="628"/>
      <c r="H61" s="615"/>
    </row>
    <row r="62" spans="1:8" ht="25.5">
      <c r="A62" s="609"/>
      <c r="B62" s="616"/>
      <c r="C62" s="617"/>
      <c r="D62" s="624"/>
      <c r="E62" s="627" t="s">
        <v>1948</v>
      </c>
      <c r="F62" s="912">
        <f>0.4*0.4*0.8*2+0.4*0.6*0.8*21</f>
        <v>4.2880000000000003</v>
      </c>
      <c r="G62" s="628"/>
      <c r="H62" s="615"/>
    </row>
    <row r="63" spans="1:8" ht="25.5">
      <c r="A63" s="609"/>
      <c r="B63" s="616"/>
      <c r="C63" s="617"/>
      <c r="D63" s="624"/>
      <c r="E63" s="627" t="s">
        <v>1949</v>
      </c>
      <c r="F63" s="913">
        <f>0.4*0.4*0.8*1+0.4*0.6*0.8*2</f>
        <v>0.51200000000000001</v>
      </c>
      <c r="G63" s="628"/>
      <c r="H63" s="615"/>
    </row>
    <row r="64" spans="1:8">
      <c r="A64" s="609"/>
      <c r="B64" s="616"/>
      <c r="C64" s="617"/>
      <c r="D64" s="624"/>
      <c r="E64" s="627"/>
      <c r="F64" s="912">
        <f>SUM(F61:F63)</f>
        <v>5.016</v>
      </c>
      <c r="G64" s="628"/>
      <c r="H64" s="615"/>
    </row>
    <row r="65" spans="1:9">
      <c r="A65" s="916"/>
      <c r="B65" s="917"/>
      <c r="C65" s="918"/>
      <c r="D65" s="919"/>
      <c r="E65" s="627"/>
      <c r="F65" s="912"/>
      <c r="G65" s="628"/>
      <c r="H65" s="615"/>
    </row>
    <row r="66" spans="1:9">
      <c r="A66" s="916"/>
      <c r="B66" s="917"/>
      <c r="C66" s="918"/>
      <c r="D66" s="919"/>
      <c r="E66" s="911" t="s">
        <v>1950</v>
      </c>
      <c r="F66" s="912"/>
      <c r="G66" s="628"/>
      <c r="H66" s="615"/>
    </row>
    <row r="67" spans="1:9">
      <c r="A67" s="916"/>
      <c r="B67" s="917"/>
      <c r="C67" s="918"/>
      <c r="D67" s="919"/>
      <c r="E67" s="627" t="s">
        <v>1951</v>
      </c>
      <c r="F67" s="912">
        <f>0.4*0.4*1.3*112</f>
        <v>23.296000000000006</v>
      </c>
      <c r="G67" s="628"/>
      <c r="H67" s="615"/>
    </row>
    <row r="68" spans="1:9">
      <c r="A68" s="916"/>
      <c r="B68" s="917"/>
      <c r="C68" s="918"/>
      <c r="D68" s="919"/>
      <c r="E68" s="914" t="s">
        <v>41</v>
      </c>
      <c r="F68" s="920">
        <f>F47+F53+F58+F64+F67</f>
        <v>29.738125000000007</v>
      </c>
      <c r="G68" s="641"/>
      <c r="H68" s="615"/>
    </row>
    <row r="69" spans="1:9">
      <c r="A69" s="916"/>
      <c r="B69" s="917"/>
      <c r="C69" s="918"/>
      <c r="D69" s="919"/>
      <c r="E69" s="627"/>
      <c r="F69" s="640"/>
      <c r="G69" s="641"/>
      <c r="H69" s="615"/>
    </row>
    <row r="70" spans="1:9">
      <c r="A70" s="34">
        <f>MAX(A$1:A64)+1</f>
        <v>7</v>
      </c>
      <c r="B70" s="43"/>
      <c r="C70" s="36" t="s">
        <v>78</v>
      </c>
      <c r="D70" s="37"/>
      <c r="E70" s="38" t="s">
        <v>79</v>
      </c>
      <c r="F70" s="39"/>
      <c r="G70" s="40" t="s">
        <v>18</v>
      </c>
      <c r="H70" s="623">
        <v>22.560000000000002</v>
      </c>
      <c r="I70" s="253"/>
    </row>
    <row r="71" spans="1:9">
      <c r="A71" s="72"/>
      <c r="B71" s="73"/>
      <c r="C71" s="66"/>
      <c r="D71" s="67" t="s">
        <v>80</v>
      </c>
      <c r="E71" s="71" t="s">
        <v>81</v>
      </c>
      <c r="F71" s="61"/>
      <c r="G71" s="62" t="s">
        <v>18</v>
      </c>
      <c r="H71" s="615">
        <v>22.560000000000002</v>
      </c>
    </row>
    <row r="72" spans="1:9" ht="25.5">
      <c r="A72" s="34"/>
      <c r="B72" s="31"/>
      <c r="C72" s="31"/>
      <c r="D72" s="32"/>
      <c r="E72" s="77" t="s">
        <v>1952</v>
      </c>
      <c r="F72" s="159">
        <f>0.5*0.5*0.8*15</f>
        <v>3</v>
      </c>
      <c r="G72" s="29"/>
      <c r="H72" s="615"/>
    </row>
    <row r="73" spans="1:9" ht="25.5">
      <c r="A73" s="145"/>
      <c r="B73" s="31"/>
      <c r="C73" s="921"/>
      <c r="D73" s="32"/>
      <c r="E73" s="77" t="s">
        <v>1953</v>
      </c>
      <c r="F73" s="159">
        <f>0.5*0.5*0.8*53</f>
        <v>10.600000000000001</v>
      </c>
      <c r="G73" s="922"/>
      <c r="H73" s="615"/>
    </row>
    <row r="74" spans="1:9" ht="25.5">
      <c r="A74" s="145"/>
      <c r="B74" s="31"/>
      <c r="C74" s="921"/>
      <c r="D74" s="32"/>
      <c r="E74" s="77" t="s">
        <v>1954</v>
      </c>
      <c r="F74" s="923">
        <f>0.4*0.4*0.5*112</f>
        <v>8.9600000000000009</v>
      </c>
      <c r="G74" s="922"/>
      <c r="H74" s="615"/>
    </row>
    <row r="75" spans="1:9">
      <c r="A75" s="145"/>
      <c r="B75" s="31"/>
      <c r="C75" s="921"/>
      <c r="D75" s="32"/>
      <c r="E75" s="77"/>
      <c r="F75" s="159">
        <f>SUM(F72:F74)</f>
        <v>22.560000000000002</v>
      </c>
      <c r="G75" s="922"/>
      <c r="H75" s="615"/>
    </row>
    <row r="76" spans="1:9">
      <c r="A76" s="609"/>
      <c r="B76" s="616"/>
      <c r="C76" s="617"/>
      <c r="D76" s="624"/>
      <c r="E76" s="627"/>
      <c r="F76" s="912"/>
      <c r="G76" s="628"/>
      <c r="H76" s="615"/>
    </row>
    <row r="77" spans="1:9">
      <c r="A77" s="609"/>
      <c r="B77" s="35" t="s">
        <v>56</v>
      </c>
      <c r="C77" s="93"/>
      <c r="D77" s="94"/>
      <c r="E77" s="96" t="s">
        <v>57</v>
      </c>
      <c r="F77" s="912"/>
      <c r="G77" s="628"/>
      <c r="H77" s="615"/>
    </row>
    <row r="78" spans="1:9">
      <c r="A78" s="609"/>
      <c r="B78" s="616"/>
      <c r="C78" s="617"/>
      <c r="D78" s="617"/>
      <c r="E78" s="618"/>
      <c r="F78" s="613"/>
      <c r="G78" s="614"/>
      <c r="H78" s="615"/>
    </row>
    <row r="79" spans="1:9">
      <c r="A79" s="34">
        <f>MAX(A$1:A78)+1</f>
        <v>8</v>
      </c>
      <c r="B79" s="616"/>
      <c r="C79" s="619" t="s">
        <v>58</v>
      </c>
      <c r="D79" s="619"/>
      <c r="E79" s="620" t="s">
        <v>59</v>
      </c>
      <c r="F79" s="621"/>
      <c r="G79" s="622" t="s">
        <v>18</v>
      </c>
      <c r="H79" s="623">
        <v>7.18</v>
      </c>
    </row>
    <row r="80" spans="1:9">
      <c r="A80" s="609"/>
      <c r="B80" s="616"/>
      <c r="C80" s="624"/>
      <c r="D80" s="67" t="s">
        <v>60</v>
      </c>
      <c r="E80" s="71" t="s">
        <v>61</v>
      </c>
      <c r="F80" s="61"/>
      <c r="G80" s="62" t="s">
        <v>18</v>
      </c>
      <c r="H80" s="615">
        <v>7.18</v>
      </c>
    </row>
    <row r="81" spans="1:8">
      <c r="A81" s="609"/>
      <c r="B81" s="616"/>
      <c r="C81" s="617"/>
      <c r="D81" s="617"/>
      <c r="E81" s="629" t="s">
        <v>1212</v>
      </c>
      <c r="F81" s="630">
        <f>F92</f>
        <v>7.178125000000005</v>
      </c>
      <c r="G81" s="614"/>
      <c r="H81" s="615"/>
    </row>
    <row r="82" spans="1:8">
      <c r="A82" s="609"/>
      <c r="B82" s="616"/>
      <c r="C82" s="617"/>
      <c r="D82" s="617"/>
      <c r="E82" s="629"/>
      <c r="F82" s="631"/>
      <c r="G82" s="614"/>
      <c r="H82" s="615"/>
    </row>
    <row r="83" spans="1:8" ht="15.75" customHeight="1">
      <c r="A83" s="34">
        <f>MAX(A$1:A82)+1</f>
        <v>9</v>
      </c>
      <c r="B83" s="616"/>
      <c r="C83" s="36" t="s">
        <v>62</v>
      </c>
      <c r="D83" s="37"/>
      <c r="E83" s="38" t="s">
        <v>63</v>
      </c>
      <c r="F83" s="39"/>
      <c r="G83" s="40" t="s">
        <v>18</v>
      </c>
      <c r="H83" s="623">
        <v>45.120000000000005</v>
      </c>
    </row>
    <row r="84" spans="1:8" ht="25.5">
      <c r="A84" s="609"/>
      <c r="B84" s="616"/>
      <c r="C84" s="66"/>
      <c r="D84" s="67" t="s">
        <v>64</v>
      </c>
      <c r="E84" s="71" t="s">
        <v>65</v>
      </c>
      <c r="F84" s="61"/>
      <c r="G84" s="62" t="s">
        <v>18</v>
      </c>
      <c r="H84" s="615">
        <v>45.120000000000005</v>
      </c>
    </row>
    <row r="85" spans="1:8" ht="15.75" customHeight="1">
      <c r="A85" s="609"/>
      <c r="B85" s="616"/>
      <c r="C85" s="617"/>
      <c r="D85" s="624"/>
      <c r="E85" s="627" t="s">
        <v>179</v>
      </c>
      <c r="F85" s="640">
        <f>F75*2</f>
        <v>45.120000000000005</v>
      </c>
      <c r="G85" s="641"/>
      <c r="H85" s="615"/>
    </row>
    <row r="86" spans="1:8">
      <c r="A86" s="609"/>
      <c r="B86" s="616"/>
      <c r="C86" s="617"/>
      <c r="D86" s="624"/>
      <c r="E86" s="627"/>
      <c r="F86" s="640"/>
      <c r="G86" s="641"/>
      <c r="H86" s="615"/>
    </row>
    <row r="87" spans="1:8">
      <c r="A87" s="34">
        <f>MAX(A$1:A86)+1</f>
        <v>10</v>
      </c>
      <c r="B87" s="616"/>
      <c r="C87" s="619" t="s">
        <v>50</v>
      </c>
      <c r="D87" s="619"/>
      <c r="E87" s="620" t="s">
        <v>51</v>
      </c>
      <c r="F87" s="621"/>
      <c r="G87" s="622" t="s">
        <v>18</v>
      </c>
      <c r="H87" s="623">
        <v>7.18</v>
      </c>
    </row>
    <row r="88" spans="1:8" ht="25.5">
      <c r="A88" s="609"/>
      <c r="B88" s="616"/>
      <c r="C88" s="624"/>
      <c r="D88" s="67" t="s">
        <v>138</v>
      </c>
      <c r="E88" s="71" t="s">
        <v>139</v>
      </c>
      <c r="F88" s="61"/>
      <c r="G88" s="62" t="s">
        <v>18</v>
      </c>
      <c r="H88" s="615">
        <v>7.18</v>
      </c>
    </row>
    <row r="89" spans="1:8">
      <c r="A89" s="609"/>
      <c r="B89" s="616"/>
      <c r="C89" s="624"/>
      <c r="D89" s="624"/>
      <c r="E89" s="627" t="s">
        <v>1216</v>
      </c>
      <c r="F89" s="640"/>
      <c r="G89" s="626"/>
      <c r="H89" s="615"/>
    </row>
    <row r="90" spans="1:8">
      <c r="A90" s="609"/>
      <c r="B90" s="616"/>
      <c r="C90" s="624"/>
      <c r="D90" s="624"/>
      <c r="E90" s="627" t="s">
        <v>66</v>
      </c>
      <c r="F90" s="640">
        <f>F68</f>
        <v>29.738125000000007</v>
      </c>
      <c r="G90" s="626"/>
      <c r="H90" s="615"/>
    </row>
    <row r="91" spans="1:8">
      <c r="A91" s="609"/>
      <c r="B91" s="616"/>
      <c r="C91" s="624"/>
      <c r="D91" s="624"/>
      <c r="E91" s="627" t="s">
        <v>82</v>
      </c>
      <c r="F91" s="924">
        <f>-F75</f>
        <v>-22.560000000000002</v>
      </c>
      <c r="G91" s="626"/>
      <c r="H91" s="615"/>
    </row>
    <row r="92" spans="1:8">
      <c r="A92" s="609"/>
      <c r="B92" s="616"/>
      <c r="C92" s="624"/>
      <c r="D92" s="624"/>
      <c r="E92" s="627"/>
      <c r="F92" s="640">
        <f>SUM(F90:F91)</f>
        <v>7.178125000000005</v>
      </c>
      <c r="G92" s="626"/>
      <c r="H92" s="615"/>
    </row>
    <row r="93" spans="1:8">
      <c r="A93" s="609"/>
      <c r="B93" s="616"/>
      <c r="C93" s="617"/>
      <c r="D93" s="617"/>
      <c r="E93" s="629"/>
      <c r="F93" s="630"/>
      <c r="G93" s="614"/>
      <c r="H93" s="615"/>
    </row>
    <row r="94" spans="1:8">
      <c r="A94" s="34">
        <f>MAX(A$1:A93)+1</f>
        <v>11</v>
      </c>
      <c r="B94" s="616"/>
      <c r="C94" s="632" t="s">
        <v>83</v>
      </c>
      <c r="D94" s="643"/>
      <c r="E94" s="633" t="s">
        <v>182</v>
      </c>
      <c r="F94" s="634"/>
      <c r="G94" s="635" t="s">
        <v>18</v>
      </c>
      <c r="H94" s="623">
        <v>22.560000000000002</v>
      </c>
    </row>
    <row r="95" spans="1:8" ht="25.5">
      <c r="A95" s="609"/>
      <c r="B95" s="616"/>
      <c r="C95" s="643"/>
      <c r="D95" s="636" t="s">
        <v>85</v>
      </c>
      <c r="E95" s="637" t="s">
        <v>183</v>
      </c>
      <c r="F95" s="638"/>
      <c r="G95" s="639" t="s">
        <v>18</v>
      </c>
      <c r="H95" s="615">
        <v>22.560000000000002</v>
      </c>
    </row>
    <row r="96" spans="1:8">
      <c r="A96" s="609"/>
      <c r="B96" s="616"/>
      <c r="C96" s="617"/>
      <c r="D96" s="617"/>
      <c r="E96" s="629" t="s">
        <v>181</v>
      </c>
      <c r="F96" s="630">
        <f>F75</f>
        <v>22.560000000000002</v>
      </c>
      <c r="G96" s="614"/>
      <c r="H96" s="615"/>
    </row>
    <row r="97" spans="1:8">
      <c r="A97" s="609"/>
      <c r="B97" s="616"/>
      <c r="C97" s="617"/>
      <c r="D97" s="617"/>
      <c r="E97" s="629"/>
      <c r="F97" s="630"/>
      <c r="G97" s="614"/>
      <c r="H97" s="615"/>
    </row>
    <row r="98" spans="1:8">
      <c r="A98" s="609"/>
      <c r="B98" s="610" t="s">
        <v>509</v>
      </c>
      <c r="C98" s="610"/>
      <c r="D98" s="611"/>
      <c r="E98" s="612" t="s">
        <v>510</v>
      </c>
      <c r="F98" s="621"/>
      <c r="G98" s="622"/>
      <c r="H98" s="644"/>
    </row>
    <row r="99" spans="1:8">
      <c r="A99" s="609"/>
      <c r="B99" s="645"/>
      <c r="C99" s="617"/>
      <c r="D99" s="646"/>
      <c r="E99" s="647"/>
      <c r="F99" s="648"/>
      <c r="G99" s="649"/>
      <c r="H99" s="644"/>
    </row>
    <row r="100" spans="1:8">
      <c r="A100" s="34">
        <f>MAX(A$1:A99)+1</f>
        <v>12</v>
      </c>
      <c r="B100" s="645"/>
      <c r="C100" s="619" t="s">
        <v>796</v>
      </c>
      <c r="D100" s="619"/>
      <c r="E100" s="620" t="s">
        <v>797</v>
      </c>
      <c r="F100" s="651"/>
      <c r="G100" s="650" t="s">
        <v>33</v>
      </c>
      <c r="H100" s="644">
        <v>4</v>
      </c>
    </row>
    <row r="101" spans="1:8" ht="25.5">
      <c r="A101" s="609"/>
      <c r="B101" s="645"/>
      <c r="C101" s="619"/>
      <c r="D101" s="619"/>
      <c r="E101" s="627" t="s">
        <v>1955</v>
      </c>
      <c r="F101" s="652">
        <v>1</v>
      </c>
      <c r="G101" s="650"/>
      <c r="H101" s="644"/>
    </row>
    <row r="102" spans="1:8" ht="25.5">
      <c r="A102" s="609"/>
      <c r="B102" s="645"/>
      <c r="C102" s="619"/>
      <c r="D102" s="619"/>
      <c r="E102" s="627" t="s">
        <v>1956</v>
      </c>
      <c r="F102" s="652">
        <v>1</v>
      </c>
      <c r="G102" s="650"/>
      <c r="H102" s="644"/>
    </row>
    <row r="103" spans="1:8" ht="25.5">
      <c r="A103" s="609"/>
      <c r="B103" s="645"/>
      <c r="C103" s="619"/>
      <c r="D103" s="619"/>
      <c r="E103" s="627" t="s">
        <v>1957</v>
      </c>
      <c r="F103" s="652">
        <v>1</v>
      </c>
      <c r="G103" s="650"/>
      <c r="H103" s="644"/>
    </row>
    <row r="104" spans="1:8" ht="25.5">
      <c r="A104" s="609"/>
      <c r="B104" s="645"/>
      <c r="C104" s="619"/>
      <c r="D104" s="619"/>
      <c r="E104" s="627" t="s">
        <v>1958</v>
      </c>
      <c r="F104" s="925">
        <v>1</v>
      </c>
      <c r="G104" s="650"/>
      <c r="H104" s="644"/>
    </row>
    <row r="105" spans="1:8">
      <c r="A105" s="609"/>
      <c r="B105" s="645"/>
      <c r="C105" s="619"/>
      <c r="D105" s="619"/>
      <c r="E105" s="627"/>
      <c r="F105" s="652">
        <f>SUM(F101:F104)</f>
        <v>4</v>
      </c>
      <c r="G105" s="650"/>
      <c r="H105" s="644"/>
    </row>
    <row r="106" spans="1:8">
      <c r="A106" s="609"/>
      <c r="B106" s="645"/>
      <c r="C106" s="617"/>
      <c r="D106" s="646"/>
      <c r="E106" s="625"/>
      <c r="F106" s="653"/>
      <c r="G106" s="649"/>
      <c r="H106" s="644"/>
    </row>
    <row r="107" spans="1:8" s="111" customFormat="1" ht="12.75">
      <c r="A107" s="34">
        <f>MAX(A$1:A106)+1</f>
        <v>13</v>
      </c>
      <c r="B107" s="645"/>
      <c r="C107" s="619" t="s">
        <v>511</v>
      </c>
      <c r="D107" s="619"/>
      <c r="E107" s="620" t="s">
        <v>512</v>
      </c>
      <c r="F107" s="651"/>
      <c r="G107" s="650" t="s">
        <v>33</v>
      </c>
      <c r="H107" s="644">
        <v>1</v>
      </c>
    </row>
    <row r="108" spans="1:8" ht="51">
      <c r="A108" s="609"/>
      <c r="B108" s="645"/>
      <c r="C108" s="619"/>
      <c r="D108" s="619"/>
      <c r="E108" s="627" t="s">
        <v>1959</v>
      </c>
      <c r="F108" s="652">
        <v>1</v>
      </c>
      <c r="G108" s="650"/>
      <c r="H108" s="644"/>
    </row>
    <row r="109" spans="1:8">
      <c r="A109" s="609"/>
      <c r="B109" s="645"/>
      <c r="C109" s="619"/>
      <c r="D109" s="619"/>
      <c r="E109" s="654"/>
      <c r="F109" s="655"/>
      <c r="G109" s="650"/>
      <c r="H109" s="644"/>
    </row>
    <row r="110" spans="1:8" ht="25.5">
      <c r="A110" s="34">
        <f>MAX(A$1:A109)+1</f>
        <v>14</v>
      </c>
      <c r="B110" s="645"/>
      <c r="C110" s="657">
        <v>15201008</v>
      </c>
      <c r="D110" s="658"/>
      <c r="E110" s="659" t="s">
        <v>798</v>
      </c>
      <c r="F110" s="660"/>
      <c r="G110" s="650" t="s">
        <v>33</v>
      </c>
      <c r="H110" s="644">
        <v>4</v>
      </c>
    </row>
    <row r="111" spans="1:8" ht="38.25">
      <c r="A111" s="609"/>
      <c r="B111" s="645"/>
      <c r="C111" s="617"/>
      <c r="D111" s="646"/>
      <c r="E111" s="663" t="s">
        <v>1960</v>
      </c>
      <c r="F111" s="662">
        <v>1</v>
      </c>
      <c r="G111" s="649"/>
      <c r="H111" s="665"/>
    </row>
    <row r="112" spans="1:8" ht="38.25">
      <c r="A112" s="609"/>
      <c r="B112" s="666"/>
      <c r="C112" s="646"/>
      <c r="D112" s="646"/>
      <c r="E112" s="663" t="s">
        <v>1961</v>
      </c>
      <c r="F112" s="662">
        <v>1</v>
      </c>
      <c r="G112" s="667"/>
      <c r="H112" s="615"/>
    </row>
    <row r="113" spans="1:8" ht="38.25">
      <c r="A113" s="609"/>
      <c r="B113" s="666"/>
      <c r="C113" s="646"/>
      <c r="D113" s="646"/>
      <c r="E113" s="663" t="s">
        <v>1962</v>
      </c>
      <c r="F113" s="662">
        <v>1</v>
      </c>
      <c r="G113" s="667"/>
      <c r="H113" s="615"/>
    </row>
    <row r="114" spans="1:8" ht="38.25">
      <c r="A114" s="609"/>
      <c r="B114" s="666"/>
      <c r="C114" s="646"/>
      <c r="D114" s="646"/>
      <c r="E114" s="663" t="s">
        <v>1963</v>
      </c>
      <c r="F114" s="664">
        <v>1</v>
      </c>
      <c r="G114" s="667"/>
      <c r="H114" s="615"/>
    </row>
    <row r="115" spans="1:8">
      <c r="A115" s="609"/>
      <c r="B115" s="666"/>
      <c r="C115" s="646"/>
      <c r="D115" s="646"/>
      <c r="E115" s="656"/>
      <c r="F115" s="640">
        <f>SUM(F111:F114)</f>
        <v>4</v>
      </c>
      <c r="G115" s="667"/>
      <c r="H115" s="615"/>
    </row>
    <row r="116" spans="1:8">
      <c r="A116" s="609"/>
      <c r="B116" s="666"/>
      <c r="C116" s="646"/>
      <c r="D116" s="646"/>
      <c r="E116" s="656"/>
      <c r="F116" s="640"/>
      <c r="G116" s="667"/>
      <c r="H116" s="615"/>
    </row>
    <row r="117" spans="1:8" ht="25.5">
      <c r="A117" s="609"/>
      <c r="B117" s="35" t="s">
        <v>270</v>
      </c>
      <c r="C117" s="35"/>
      <c r="D117" s="94"/>
      <c r="E117" s="211" t="s">
        <v>271</v>
      </c>
      <c r="F117" s="640"/>
      <c r="G117" s="667"/>
      <c r="H117" s="615"/>
    </row>
    <row r="118" spans="1:8">
      <c r="A118" s="609"/>
      <c r="B118" s="666"/>
      <c r="C118" s="646"/>
      <c r="D118" s="646"/>
      <c r="E118" s="656"/>
      <c r="F118" s="640"/>
      <c r="G118" s="667"/>
      <c r="H118" s="615"/>
    </row>
    <row r="119" spans="1:8">
      <c r="A119" s="34">
        <f>MAX(A$1:A118)+1</f>
        <v>15</v>
      </c>
      <c r="B119" s="666"/>
      <c r="C119" s="36" t="s">
        <v>1964</v>
      </c>
      <c r="D119" s="37"/>
      <c r="E119" s="38" t="s">
        <v>1965</v>
      </c>
      <c r="F119" s="39"/>
      <c r="G119" s="40" t="s">
        <v>36</v>
      </c>
      <c r="H119" s="623">
        <v>5.8500000000000005</v>
      </c>
    </row>
    <row r="120" spans="1:8">
      <c r="A120" s="145"/>
      <c r="B120" s="926"/>
      <c r="C120" s="117"/>
      <c r="D120" s="37"/>
      <c r="E120" s="911" t="s">
        <v>1940</v>
      </c>
      <c r="F120" s="232"/>
      <c r="G120" s="219"/>
      <c r="H120" s="615"/>
    </row>
    <row r="121" spans="1:8" ht="25.5">
      <c r="A121" s="609"/>
      <c r="B121" s="666"/>
      <c r="C121" s="646"/>
      <c r="D121" s="646"/>
      <c r="E121" s="927" t="s">
        <v>1966</v>
      </c>
      <c r="F121" s="640">
        <v>0.95</v>
      </c>
      <c r="G121" s="667"/>
      <c r="H121" s="615"/>
    </row>
    <row r="122" spans="1:8">
      <c r="A122" s="609"/>
      <c r="B122" s="666"/>
      <c r="C122" s="646"/>
      <c r="D122" s="646"/>
      <c r="E122" s="927" t="s">
        <v>1967</v>
      </c>
      <c r="F122" s="924">
        <v>0.75</v>
      </c>
      <c r="G122" s="667"/>
      <c r="H122" s="615"/>
    </row>
    <row r="123" spans="1:8">
      <c r="A123" s="609"/>
      <c r="B123" s="666"/>
      <c r="C123" s="646"/>
      <c r="D123" s="646"/>
      <c r="E123" s="927"/>
      <c r="F123" s="640">
        <f>SUM(F121:F122)</f>
        <v>1.7</v>
      </c>
      <c r="G123" s="667"/>
      <c r="H123" s="615"/>
    </row>
    <row r="124" spans="1:8">
      <c r="A124" s="609"/>
      <c r="B124" s="666"/>
      <c r="C124" s="646"/>
      <c r="D124" s="646"/>
      <c r="E124" s="927"/>
      <c r="F124" s="640"/>
      <c r="G124" s="667"/>
      <c r="H124" s="615"/>
    </row>
    <row r="125" spans="1:8">
      <c r="A125" s="609"/>
      <c r="B125" s="666"/>
      <c r="C125" s="646"/>
      <c r="D125" s="646"/>
      <c r="E125" s="911" t="s">
        <v>1944</v>
      </c>
      <c r="F125" s="232"/>
      <c r="G125" s="667"/>
      <c r="H125" s="615"/>
    </row>
    <row r="126" spans="1:8">
      <c r="A126" s="609"/>
      <c r="B126" s="666"/>
      <c r="C126" s="646"/>
      <c r="D126" s="646"/>
      <c r="E126" s="927" t="s">
        <v>1968</v>
      </c>
      <c r="F126" s="640">
        <v>0.95</v>
      </c>
      <c r="G126" s="667"/>
      <c r="H126" s="615"/>
    </row>
    <row r="127" spans="1:8">
      <c r="A127" s="609"/>
      <c r="B127" s="666"/>
      <c r="C127" s="646"/>
      <c r="D127" s="646"/>
      <c r="E127" s="927" t="s">
        <v>1967</v>
      </c>
      <c r="F127" s="924">
        <v>0.75</v>
      </c>
      <c r="G127" s="667"/>
      <c r="H127" s="615"/>
    </row>
    <row r="128" spans="1:8">
      <c r="A128" s="609"/>
      <c r="B128" s="666"/>
      <c r="C128" s="646"/>
      <c r="D128" s="646"/>
      <c r="E128" s="927"/>
      <c r="F128" s="640">
        <f>SUM(F126:F127)</f>
        <v>1.7</v>
      </c>
      <c r="G128" s="667"/>
      <c r="H128" s="615"/>
    </row>
    <row r="129" spans="1:8">
      <c r="A129" s="609"/>
      <c r="B129" s="666"/>
      <c r="C129" s="646"/>
      <c r="D129" s="646"/>
      <c r="E129" s="927"/>
      <c r="F129" s="640"/>
      <c r="G129" s="667"/>
      <c r="H129" s="615"/>
    </row>
    <row r="130" spans="1:8">
      <c r="A130" s="609"/>
      <c r="B130" s="666"/>
      <c r="C130" s="646"/>
      <c r="D130" s="646"/>
      <c r="E130" s="911" t="s">
        <v>1946</v>
      </c>
      <c r="F130" s="232"/>
      <c r="G130" s="667"/>
      <c r="H130" s="615"/>
    </row>
    <row r="131" spans="1:8">
      <c r="A131" s="609"/>
      <c r="B131" s="666"/>
      <c r="C131" s="646"/>
      <c r="D131" s="646"/>
      <c r="E131" s="927" t="s">
        <v>1967</v>
      </c>
      <c r="F131" s="640">
        <v>0.75</v>
      </c>
      <c r="G131" s="667"/>
      <c r="H131" s="615"/>
    </row>
    <row r="132" spans="1:8">
      <c r="A132" s="609"/>
      <c r="B132" s="666"/>
      <c r="C132" s="646"/>
      <c r="D132" s="646"/>
      <c r="E132" s="927"/>
      <c r="F132" s="640"/>
      <c r="G132" s="667"/>
      <c r="H132" s="615"/>
    </row>
    <row r="133" spans="1:8">
      <c r="A133" s="609"/>
      <c r="B133" s="666"/>
      <c r="C133" s="646"/>
      <c r="D133" s="646"/>
      <c r="E133" s="911" t="s">
        <v>1947</v>
      </c>
      <c r="F133" s="232"/>
      <c r="G133" s="667"/>
      <c r="H133" s="615"/>
    </row>
    <row r="134" spans="1:8" ht="25.5">
      <c r="A134" s="609"/>
      <c r="B134" s="666"/>
      <c r="C134" s="646"/>
      <c r="D134" s="646"/>
      <c r="E134" s="927" t="s">
        <v>1969</v>
      </c>
      <c r="F134" s="640">
        <v>0.95</v>
      </c>
      <c r="G134" s="667"/>
      <c r="H134" s="615"/>
    </row>
    <row r="135" spans="1:8">
      <c r="A135" s="609"/>
      <c r="B135" s="666"/>
      <c r="C135" s="646"/>
      <c r="D135" s="646"/>
      <c r="E135" s="927" t="s">
        <v>1967</v>
      </c>
      <c r="F135" s="924">
        <v>0.75</v>
      </c>
      <c r="G135" s="667"/>
      <c r="H135" s="615"/>
    </row>
    <row r="136" spans="1:8">
      <c r="A136" s="609"/>
      <c r="B136" s="666"/>
      <c r="C136" s="646"/>
      <c r="D136" s="646"/>
      <c r="E136" s="927"/>
      <c r="F136" s="640">
        <f>SUM(F134:F135)</f>
        <v>1.7</v>
      </c>
      <c r="G136" s="667"/>
      <c r="H136" s="615"/>
    </row>
    <row r="137" spans="1:8">
      <c r="A137" s="609"/>
      <c r="B137" s="666"/>
      <c r="C137" s="646"/>
      <c r="D137" s="646"/>
      <c r="E137" s="914" t="s">
        <v>41</v>
      </c>
      <c r="F137" s="920">
        <f>F123+F128+F131+F136</f>
        <v>5.8500000000000005</v>
      </c>
      <c r="G137" s="667"/>
      <c r="H137" s="615"/>
    </row>
    <row r="138" spans="1:8">
      <c r="A138" s="609"/>
      <c r="B138" s="616"/>
      <c r="C138" s="617"/>
      <c r="D138" s="617"/>
      <c r="E138" s="629"/>
      <c r="F138" s="630"/>
      <c r="G138" s="614"/>
      <c r="H138" s="615"/>
    </row>
    <row r="139" spans="1:8">
      <c r="A139" s="609"/>
      <c r="B139" s="35" t="s">
        <v>416</v>
      </c>
      <c r="C139" s="35"/>
      <c r="D139" s="94"/>
      <c r="E139" s="50" t="s">
        <v>417</v>
      </c>
      <c r="F139" s="668"/>
      <c r="G139" s="614"/>
      <c r="H139" s="615"/>
    </row>
    <row r="140" spans="1:8" ht="15.75">
      <c r="A140" s="609"/>
      <c r="B140" s="616"/>
      <c r="C140" s="669"/>
      <c r="D140" s="670"/>
      <c r="E140" s="671"/>
      <c r="F140" s="672"/>
      <c r="G140" s="673"/>
      <c r="H140" s="615"/>
    </row>
    <row r="141" spans="1:8">
      <c r="A141" s="34">
        <f>MAX(A$1:A140)+1</f>
        <v>16</v>
      </c>
      <c r="B141" s="616"/>
      <c r="C141" s="36" t="s">
        <v>420</v>
      </c>
      <c r="D141" s="37"/>
      <c r="E141" s="38" t="s">
        <v>421</v>
      </c>
      <c r="F141" s="39"/>
      <c r="G141" s="40" t="s">
        <v>18</v>
      </c>
      <c r="H141" s="623">
        <v>20.78</v>
      </c>
    </row>
    <row r="142" spans="1:8">
      <c r="A142" s="484"/>
      <c r="B142" s="616"/>
      <c r="C142" s="619"/>
      <c r="D142" s="191" t="s">
        <v>564</v>
      </c>
      <c r="E142" s="193" t="s">
        <v>565</v>
      </c>
      <c r="F142" s="192"/>
      <c r="G142" s="32" t="s">
        <v>18</v>
      </c>
      <c r="H142" s="615">
        <v>20.78</v>
      </c>
    </row>
    <row r="143" spans="1:8">
      <c r="A143" s="609"/>
      <c r="B143" s="616"/>
      <c r="C143" s="617"/>
      <c r="D143" s="624"/>
      <c r="E143" s="911" t="s">
        <v>1940</v>
      </c>
      <c r="F143" s="912"/>
      <c r="G143" s="626"/>
      <c r="H143" s="615"/>
    </row>
    <row r="144" spans="1:8">
      <c r="A144" s="916"/>
      <c r="B144" s="917"/>
      <c r="C144" s="918"/>
      <c r="D144" s="919"/>
      <c r="E144" s="627" t="s">
        <v>1970</v>
      </c>
      <c r="F144" s="912">
        <f>0.6*0.6*0.8*1</f>
        <v>0.28799999999999998</v>
      </c>
      <c r="G144" s="928"/>
      <c r="H144" s="929"/>
    </row>
    <row r="145" spans="1:8">
      <c r="A145" s="916"/>
      <c r="B145" s="917"/>
      <c r="C145" s="918"/>
      <c r="D145" s="919"/>
      <c r="E145" s="627" t="s">
        <v>1971</v>
      </c>
      <c r="F145" s="912">
        <f>0.35*0.55*0.35*1</f>
        <v>6.737499999999999E-2</v>
      </c>
      <c r="G145" s="928"/>
      <c r="H145" s="929"/>
    </row>
    <row r="146" spans="1:8">
      <c r="A146" s="916"/>
      <c r="B146" s="917"/>
      <c r="C146" s="918"/>
      <c r="D146" s="919"/>
      <c r="E146" s="627" t="s">
        <v>1972</v>
      </c>
      <c r="F146" s="913">
        <f>0.6*0.6*0.6*1</f>
        <v>0.216</v>
      </c>
      <c r="G146" s="928"/>
      <c r="H146" s="929"/>
    </row>
    <row r="147" spans="1:8">
      <c r="A147" s="916"/>
      <c r="B147" s="917"/>
      <c r="C147" s="918"/>
      <c r="D147" s="919"/>
      <c r="E147" s="627"/>
      <c r="F147" s="912">
        <f>SUM(F144:F146)</f>
        <v>0.57137499999999997</v>
      </c>
      <c r="G147" s="928"/>
      <c r="H147" s="929"/>
    </row>
    <row r="148" spans="1:8">
      <c r="A148" s="916"/>
      <c r="B148" s="917"/>
      <c r="C148" s="918"/>
      <c r="D148" s="919"/>
      <c r="E148" s="627"/>
      <c r="F148" s="640"/>
      <c r="G148" s="928"/>
      <c r="H148" s="929"/>
    </row>
    <row r="149" spans="1:8">
      <c r="A149" s="916"/>
      <c r="B149" s="917"/>
      <c r="C149" s="918"/>
      <c r="D149" s="919"/>
      <c r="E149" s="911" t="s">
        <v>1944</v>
      </c>
      <c r="F149" s="912"/>
      <c r="G149" s="928"/>
      <c r="H149" s="929"/>
    </row>
    <row r="150" spans="1:8">
      <c r="A150" s="916"/>
      <c r="B150" s="917"/>
      <c r="C150" s="918"/>
      <c r="D150" s="919"/>
      <c r="E150" s="627" t="s">
        <v>1973</v>
      </c>
      <c r="F150" s="912">
        <f>0.6*0.6*0.8*1</f>
        <v>0.28799999999999998</v>
      </c>
      <c r="G150" s="928"/>
      <c r="H150" s="929"/>
    </row>
    <row r="151" spans="1:8">
      <c r="A151" s="916"/>
      <c r="B151" s="917"/>
      <c r="C151" s="918"/>
      <c r="D151" s="919"/>
      <c r="E151" s="627" t="s">
        <v>1971</v>
      </c>
      <c r="F151" s="912">
        <f>0.35*0.55*0.35*1</f>
        <v>6.737499999999999E-2</v>
      </c>
      <c r="G151" s="928"/>
      <c r="H151" s="929"/>
    </row>
    <row r="152" spans="1:8">
      <c r="A152" s="916"/>
      <c r="B152" s="917"/>
      <c r="C152" s="918"/>
      <c r="D152" s="919"/>
      <c r="E152" s="627" t="s">
        <v>1972</v>
      </c>
      <c r="F152" s="913">
        <f>0.6*0.6*0.6*1</f>
        <v>0.216</v>
      </c>
      <c r="G152" s="928"/>
      <c r="H152" s="929"/>
    </row>
    <row r="153" spans="1:8">
      <c r="A153" s="72"/>
      <c r="B153" s="73"/>
      <c r="C153" s="66"/>
      <c r="D153" s="67"/>
      <c r="E153" s="627"/>
      <c r="F153" s="912">
        <f>SUM(F150:F152)</f>
        <v>0.57137499999999997</v>
      </c>
      <c r="G153" s="62"/>
      <c r="H153" s="930"/>
    </row>
    <row r="154" spans="1:8">
      <c r="A154" s="105"/>
      <c r="B154" s="73"/>
      <c r="C154" s="66"/>
      <c r="D154" s="67"/>
      <c r="E154" s="65"/>
      <c r="F154" s="227"/>
      <c r="G154" s="62"/>
      <c r="H154" s="42"/>
    </row>
    <row r="155" spans="1:8">
      <c r="A155" s="105"/>
      <c r="B155" s="73"/>
      <c r="C155" s="66"/>
      <c r="D155" s="67"/>
      <c r="E155" s="911" t="s">
        <v>1946</v>
      </c>
      <c r="F155" s="912"/>
      <c r="G155" s="62"/>
      <c r="H155" s="42"/>
    </row>
    <row r="156" spans="1:8">
      <c r="A156" s="105"/>
      <c r="B156" s="73"/>
      <c r="C156" s="66"/>
      <c r="D156" s="67"/>
      <c r="E156" s="627" t="s">
        <v>1971</v>
      </c>
      <c r="F156" s="912">
        <f>0.35*0.55*0.35*1</f>
        <v>6.737499999999999E-2</v>
      </c>
      <c r="G156" s="62"/>
      <c r="H156" s="42"/>
    </row>
    <row r="157" spans="1:8">
      <c r="A157" s="105"/>
      <c r="B157" s="73"/>
      <c r="C157" s="66"/>
      <c r="D157" s="67"/>
      <c r="E157" s="627" t="s">
        <v>1972</v>
      </c>
      <c r="F157" s="913">
        <f>0.6*0.6*0.6*1</f>
        <v>0.216</v>
      </c>
      <c r="G157" s="62"/>
      <c r="H157" s="42"/>
    </row>
    <row r="158" spans="1:8">
      <c r="A158" s="105"/>
      <c r="B158" s="73"/>
      <c r="C158" s="66"/>
      <c r="D158" s="67"/>
      <c r="E158" s="627"/>
      <c r="F158" s="912">
        <f>SUM(F156:F157)</f>
        <v>0.28337499999999999</v>
      </c>
      <c r="G158" s="62"/>
      <c r="H158" s="42"/>
    </row>
    <row r="159" spans="1:8">
      <c r="A159" s="105"/>
      <c r="B159" s="73"/>
      <c r="C159" s="66"/>
      <c r="D159" s="67"/>
      <c r="E159" s="627"/>
      <c r="F159" s="640"/>
      <c r="G159" s="62"/>
      <c r="H159" s="42"/>
    </row>
    <row r="160" spans="1:8">
      <c r="A160" s="105"/>
      <c r="B160" s="73"/>
      <c r="C160" s="66"/>
      <c r="D160" s="67"/>
      <c r="E160" s="911" t="s">
        <v>1947</v>
      </c>
      <c r="F160" s="912"/>
      <c r="G160" s="62"/>
      <c r="H160" s="42"/>
    </row>
    <row r="161" spans="1:8">
      <c r="A161" s="105"/>
      <c r="B161" s="73"/>
      <c r="C161" s="66"/>
      <c r="D161" s="67"/>
      <c r="E161" s="627" t="s">
        <v>1972</v>
      </c>
      <c r="F161" s="912">
        <f>0.6*0.6*0.6*1</f>
        <v>0.216</v>
      </c>
      <c r="G161" s="62"/>
      <c r="H161" s="42"/>
    </row>
    <row r="162" spans="1:8" ht="26.25">
      <c r="A162" s="105"/>
      <c r="B162" s="73"/>
      <c r="C162" s="66"/>
      <c r="D162" s="67"/>
      <c r="E162" s="642" t="s">
        <v>1974</v>
      </c>
      <c r="F162" s="912">
        <f>0.4*0.4*0.8*2+0.4*0.6*0.8*21</f>
        <v>4.2880000000000003</v>
      </c>
      <c r="G162" s="62"/>
      <c r="H162" s="42"/>
    </row>
    <row r="163" spans="1:8" ht="26.25">
      <c r="A163" s="105"/>
      <c r="B163" s="73"/>
      <c r="C163" s="66"/>
      <c r="D163" s="67"/>
      <c r="E163" s="642" t="s">
        <v>1975</v>
      </c>
      <c r="F163" s="913">
        <f>0.4*0.4*0.8*1+0.4*0.6*0.8*2</f>
        <v>0.51200000000000001</v>
      </c>
      <c r="G163" s="62"/>
      <c r="H163" s="42"/>
    </row>
    <row r="164" spans="1:8">
      <c r="A164" s="105"/>
      <c r="B164" s="73"/>
      <c r="C164" s="66"/>
      <c r="D164" s="67"/>
      <c r="E164" s="627"/>
      <c r="F164" s="912">
        <f>SUM(F161:F163)</f>
        <v>5.016</v>
      </c>
      <c r="G164" s="62"/>
      <c r="H164" s="42"/>
    </row>
    <row r="165" spans="1:8">
      <c r="A165" s="105"/>
      <c r="B165" s="73"/>
      <c r="C165" s="66"/>
      <c r="D165" s="67"/>
      <c r="E165" s="627"/>
      <c r="F165" s="640"/>
      <c r="G165" s="62"/>
      <c r="H165" s="42"/>
    </row>
    <row r="166" spans="1:8">
      <c r="A166" s="105"/>
      <c r="B166" s="73"/>
      <c r="C166" s="66"/>
      <c r="D166" s="67"/>
      <c r="E166" s="911" t="s">
        <v>1950</v>
      </c>
      <c r="F166" s="640"/>
      <c r="G166" s="62"/>
      <c r="H166" s="42"/>
    </row>
    <row r="167" spans="1:8">
      <c r="A167" s="105"/>
      <c r="B167" s="73"/>
      <c r="C167" s="66"/>
      <c r="D167" s="67"/>
      <c r="E167" s="642" t="s">
        <v>1976</v>
      </c>
      <c r="F167" s="912">
        <f>0.4*0.4*0.8*112</f>
        <v>14.336000000000004</v>
      </c>
      <c r="G167" s="62"/>
      <c r="H167" s="42"/>
    </row>
    <row r="168" spans="1:8">
      <c r="A168" s="105"/>
      <c r="B168" s="73"/>
      <c r="C168" s="66"/>
      <c r="D168" s="67"/>
      <c r="E168" s="914" t="s">
        <v>41</v>
      </c>
      <c r="F168" s="920">
        <f>F147+F153+F158+F164+F167</f>
        <v>20.778125000000003</v>
      </c>
      <c r="G168" s="62"/>
      <c r="H168" s="42"/>
    </row>
    <row r="169" spans="1:8">
      <c r="A169" s="105"/>
      <c r="B169" s="73"/>
      <c r="C169" s="66"/>
      <c r="D169" s="67"/>
      <c r="E169" s="627"/>
      <c r="F169" s="640"/>
      <c r="G169" s="62"/>
      <c r="H169" s="42"/>
    </row>
    <row r="170" spans="1:8">
      <c r="A170" s="105"/>
      <c r="B170" s="35" t="s">
        <v>1977</v>
      </c>
      <c r="C170" s="35"/>
      <c r="D170" s="94"/>
      <c r="E170" s="50" t="s">
        <v>1978</v>
      </c>
      <c r="F170" s="640"/>
      <c r="G170" s="62"/>
      <c r="H170" s="42"/>
    </row>
    <row r="171" spans="1:8">
      <c r="A171" s="105"/>
      <c r="B171" s="73"/>
      <c r="C171" s="66"/>
      <c r="D171" s="67"/>
      <c r="E171" s="627"/>
      <c r="F171" s="640"/>
      <c r="G171" s="62"/>
      <c r="H171" s="42"/>
    </row>
    <row r="172" spans="1:8">
      <c r="A172" s="34">
        <f>MAX(A$1:A171)+1</f>
        <v>17</v>
      </c>
      <c r="B172" s="73"/>
      <c r="C172" s="36" t="s">
        <v>1979</v>
      </c>
      <c r="D172" s="37"/>
      <c r="E172" s="38" t="s">
        <v>1980</v>
      </c>
      <c r="F172" s="39"/>
      <c r="G172" s="40" t="s">
        <v>36</v>
      </c>
      <c r="H172" s="52">
        <v>261.76</v>
      </c>
    </row>
    <row r="173" spans="1:8" ht="38.25">
      <c r="A173" s="105"/>
      <c r="B173" s="73"/>
      <c r="C173" s="66"/>
      <c r="D173" s="67"/>
      <c r="E173" s="627" t="s">
        <v>1981</v>
      </c>
      <c r="F173" s="640">
        <f>94+4.76</f>
        <v>98.76</v>
      </c>
      <c r="G173" s="62"/>
      <c r="H173" s="42"/>
    </row>
    <row r="174" spans="1:8" ht="51">
      <c r="A174" s="105"/>
      <c r="B174" s="73"/>
      <c r="C174" s="66"/>
      <c r="D174" s="67"/>
      <c r="E174" s="627" t="s">
        <v>1982</v>
      </c>
      <c r="F174" s="640"/>
      <c r="G174" s="62"/>
      <c r="H174" s="42"/>
    </row>
    <row r="175" spans="1:8">
      <c r="A175" s="105"/>
      <c r="B175" s="73"/>
      <c r="C175" s="66"/>
      <c r="D175" s="67"/>
      <c r="E175" s="627"/>
      <c r="F175" s="640"/>
      <c r="G175" s="62"/>
      <c r="H175" s="42"/>
    </row>
    <row r="176" spans="1:8" ht="25.5">
      <c r="A176" s="105"/>
      <c r="B176" s="73"/>
      <c r="C176" s="66"/>
      <c r="D176" s="67"/>
      <c r="E176" s="627" t="s">
        <v>1983</v>
      </c>
      <c r="F176" s="640">
        <v>163</v>
      </c>
      <c r="G176" s="62"/>
      <c r="H176" s="42"/>
    </row>
    <row r="177" spans="1:8">
      <c r="A177" s="105"/>
      <c r="B177" s="73"/>
      <c r="C177" s="66"/>
      <c r="D177" s="67"/>
      <c r="E177" s="914" t="s">
        <v>41</v>
      </c>
      <c r="F177" s="920">
        <f>F173+F176</f>
        <v>261.76</v>
      </c>
      <c r="G177" s="62"/>
      <c r="H177" s="42"/>
    </row>
    <row r="178" spans="1:8">
      <c r="A178" s="105"/>
      <c r="B178" s="73"/>
      <c r="C178" s="66"/>
      <c r="D178" s="67"/>
      <c r="E178" s="627"/>
      <c r="F178" s="640"/>
      <c r="G178" s="62"/>
      <c r="H178" s="42"/>
    </row>
    <row r="179" spans="1:8">
      <c r="A179" s="105"/>
      <c r="B179" s="73"/>
      <c r="C179" s="66"/>
      <c r="D179" s="67"/>
      <c r="E179" s="627"/>
      <c r="F179" s="640"/>
      <c r="G179" s="62"/>
      <c r="H179" s="42"/>
    </row>
    <row r="180" spans="1:8">
      <c r="A180" s="105"/>
      <c r="B180" s="73"/>
      <c r="C180" s="66"/>
      <c r="D180" s="67"/>
      <c r="E180" s="627"/>
      <c r="F180" s="640"/>
      <c r="G180" s="62"/>
      <c r="H180" s="42"/>
    </row>
    <row r="181" spans="1:8" ht="15.75" thickBot="1">
      <c r="A181" s="106"/>
      <c r="B181" s="107"/>
      <c r="C181" s="107"/>
      <c r="D181" s="107"/>
      <c r="E181" s="108"/>
      <c r="F181" s="109"/>
      <c r="G181" s="107"/>
      <c r="H181" s="110"/>
    </row>
  </sheetData>
  <sheetProtection algorithmName="SHA-512" hashValue="PfRVEkXc6eafx6O+av9XxUnb8yqysR8D3TFjVVKcUXD9Nnr1mbLn8q19BwmiaKhYZ6TLUeEVLaeJGmunHb61cg==" saltValue="7lOtYviA6B0LpDe84p54H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B54A0-0E08-402E-B3E4-9D7FED2FB686}">
  <sheetPr codeName="Hárok12"/>
  <dimension ref="A1:Q211"/>
  <sheetViews>
    <sheetView showGridLines="0" workbookViewId="0">
      <selection activeCell="H6" sqref="H6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2.42578125" customWidth="1"/>
  </cols>
  <sheetData>
    <row r="1" spans="1:12">
      <c r="A1" s="2" t="s">
        <v>1</v>
      </c>
      <c r="B1" s="2"/>
      <c r="C1" s="3"/>
      <c r="D1" s="4"/>
      <c r="E1" s="5" t="s">
        <v>1985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36.81</v>
      </c>
    </row>
    <row r="9" spans="1:12">
      <c r="A9" s="145"/>
      <c r="B9" s="31"/>
      <c r="C9" s="31"/>
      <c r="D9" s="32"/>
      <c r="E9" s="33"/>
      <c r="F9" s="81">
        <f>F63</f>
        <v>36.806000000000004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8.65</v>
      </c>
    </row>
    <row r="12" spans="1:12">
      <c r="A12" s="145"/>
      <c r="B12" s="31"/>
      <c r="C12" s="31"/>
      <c r="D12" s="32"/>
      <c r="E12" s="33"/>
      <c r="F12" s="81">
        <f>H105</f>
        <v>8.65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16.870000000000005</v>
      </c>
    </row>
    <row r="17" spans="1:10" ht="25.5">
      <c r="A17" s="145"/>
      <c r="B17" s="31"/>
      <c r="C17" s="31"/>
      <c r="D17" s="32"/>
      <c r="E17" s="77" t="s">
        <v>1986</v>
      </c>
      <c r="F17" s="81">
        <f>0.5*0.5*0.8*14</f>
        <v>2.8000000000000003</v>
      </c>
      <c r="G17" s="29"/>
      <c r="H17" s="30"/>
      <c r="J17" s="111"/>
    </row>
    <row r="18" spans="1:10" ht="25.5">
      <c r="A18" s="145"/>
      <c r="B18" s="31"/>
      <c r="C18" s="31"/>
      <c r="D18" s="32"/>
      <c r="E18" s="77" t="s">
        <v>1987</v>
      </c>
      <c r="F18" s="81">
        <f>0.5*0.5*1*4</f>
        <v>1</v>
      </c>
      <c r="G18" s="29"/>
      <c r="H18" s="30"/>
      <c r="J18" s="111"/>
    </row>
    <row r="19" spans="1:10" ht="25.5">
      <c r="A19" s="145"/>
      <c r="B19" s="31"/>
      <c r="C19" s="31"/>
      <c r="D19" s="32"/>
      <c r="E19" s="77" t="s">
        <v>1988</v>
      </c>
      <c r="F19" s="133">
        <f>0.5*0.5*1*7</f>
        <v>1.75</v>
      </c>
      <c r="G19" s="29"/>
      <c r="H19" s="30"/>
      <c r="J19" s="111"/>
    </row>
    <row r="20" spans="1:10">
      <c r="A20" s="145"/>
      <c r="B20" s="31"/>
      <c r="C20" s="31"/>
      <c r="D20" s="32"/>
      <c r="E20" s="77"/>
      <c r="F20" s="81">
        <f>SUM(F17:F19)</f>
        <v>5.5500000000000007</v>
      </c>
      <c r="G20" s="29"/>
      <c r="H20" s="30"/>
    </row>
    <row r="21" spans="1:10">
      <c r="A21" s="145"/>
      <c r="B21" s="31"/>
      <c r="C21" s="31"/>
      <c r="D21" s="32"/>
      <c r="E21" s="77"/>
      <c r="F21" s="81"/>
      <c r="G21" s="29"/>
      <c r="H21" s="30"/>
    </row>
    <row r="22" spans="1:10" ht="25.5">
      <c r="A22" s="145"/>
      <c r="B22" s="31"/>
      <c r="C22" s="31"/>
      <c r="D22" s="32"/>
      <c r="E22" s="77" t="s">
        <v>1989</v>
      </c>
      <c r="F22" s="81">
        <f>0.4*0.4*0.8*5</f>
        <v>0.64000000000000012</v>
      </c>
      <c r="G22" s="29"/>
      <c r="H22" s="30"/>
    </row>
    <row r="23" spans="1:10">
      <c r="A23" s="145"/>
      <c r="B23" s="31"/>
      <c r="C23" s="31"/>
      <c r="D23" s="32"/>
      <c r="E23" s="77"/>
      <c r="F23" s="81"/>
      <c r="G23" s="29"/>
      <c r="H23" s="30"/>
    </row>
    <row r="24" spans="1:10" ht="25.5">
      <c r="A24" s="145"/>
      <c r="B24" s="31"/>
      <c r="C24" s="31"/>
      <c r="D24" s="32"/>
      <c r="E24" s="77" t="s">
        <v>1990</v>
      </c>
      <c r="F24" s="81">
        <f>0.4*0.4*0.8*20</f>
        <v>2.5600000000000005</v>
      </c>
      <c r="G24" s="29"/>
      <c r="H24" s="30"/>
    </row>
    <row r="25" spans="1:10">
      <c r="A25" s="145"/>
      <c r="B25" s="31"/>
      <c r="C25" s="31"/>
      <c r="D25" s="32"/>
      <c r="E25" s="77" t="s">
        <v>1991</v>
      </c>
      <c r="F25" s="133">
        <f>13.2*0.1</f>
        <v>1.32</v>
      </c>
      <c r="G25" s="29"/>
      <c r="H25" s="30"/>
    </row>
    <row r="26" spans="1:10">
      <c r="A26" s="145"/>
      <c r="B26" s="31"/>
      <c r="C26" s="31"/>
      <c r="D26" s="32"/>
      <c r="E26" s="77"/>
      <c r="F26" s="81">
        <f>SUM(F24:F25)</f>
        <v>3.8800000000000008</v>
      </c>
      <c r="G26" s="29"/>
      <c r="H26" s="30"/>
    </row>
    <row r="27" spans="1:10">
      <c r="A27" s="145"/>
      <c r="B27" s="31"/>
      <c r="C27" s="31"/>
      <c r="D27" s="32"/>
      <c r="E27" s="77"/>
      <c r="F27" s="81"/>
      <c r="G27" s="29"/>
      <c r="H27" s="30"/>
    </row>
    <row r="28" spans="1:10" ht="25.5">
      <c r="A28" s="145"/>
      <c r="B28" s="31"/>
      <c r="C28" s="31"/>
      <c r="D28" s="32"/>
      <c r="E28" s="77" t="s">
        <v>1992</v>
      </c>
      <c r="F28" s="81">
        <f>0.5*0.5*0.8*34</f>
        <v>6.8000000000000007</v>
      </c>
      <c r="G28" s="29"/>
      <c r="H28" s="30"/>
    </row>
    <row r="29" spans="1:10">
      <c r="A29" s="145"/>
      <c r="B29" s="31"/>
      <c r="C29" s="31"/>
      <c r="D29" s="32"/>
      <c r="E29" s="91" t="s">
        <v>41</v>
      </c>
      <c r="F29" s="151">
        <f>F20+F22+F26+F28</f>
        <v>16.870000000000005</v>
      </c>
      <c r="G29" s="29"/>
      <c r="H29" s="30"/>
    </row>
    <row r="30" spans="1:10">
      <c r="A30" s="145"/>
      <c r="B30" s="31"/>
      <c r="C30" s="31"/>
      <c r="D30" s="32"/>
      <c r="E30" s="77"/>
      <c r="F30" s="81"/>
      <c r="G30" s="29"/>
      <c r="H30" s="30"/>
    </row>
    <row r="31" spans="1:10" ht="25.5">
      <c r="A31" s="34">
        <f>MAX(A$1:A24)+1</f>
        <v>4</v>
      </c>
      <c r="B31" s="31"/>
      <c r="C31" s="36" t="s">
        <v>1993</v>
      </c>
      <c r="D31" s="37"/>
      <c r="E31" s="38" t="s">
        <v>1994</v>
      </c>
      <c r="F31" s="39"/>
      <c r="G31" s="40" t="s">
        <v>18</v>
      </c>
      <c r="H31" s="128">
        <v>2.61</v>
      </c>
    </row>
    <row r="32" spans="1:10" ht="25.5">
      <c r="A32" s="145"/>
      <c r="B32" s="31"/>
      <c r="C32" s="31"/>
      <c r="D32" s="32"/>
      <c r="E32" s="77" t="s">
        <v>1995</v>
      </c>
      <c r="F32" s="81">
        <f>(0.72+1.02)*1.5</f>
        <v>2.61</v>
      </c>
      <c r="G32" s="29"/>
      <c r="H32" s="30"/>
    </row>
    <row r="33" spans="1:11">
      <c r="A33" s="145"/>
      <c r="B33" s="31"/>
      <c r="C33" s="31"/>
      <c r="D33" s="32"/>
      <c r="E33" s="77"/>
      <c r="F33" s="81"/>
      <c r="G33" s="29"/>
      <c r="H33" s="30"/>
    </row>
    <row r="34" spans="1:11" ht="25.5">
      <c r="A34" s="34">
        <f>MAX(A$1:A33)+1</f>
        <v>5</v>
      </c>
      <c r="B34" s="31"/>
      <c r="C34" s="36" t="s">
        <v>117</v>
      </c>
      <c r="D34" s="37"/>
      <c r="E34" s="38" t="s">
        <v>118</v>
      </c>
      <c r="F34" s="39"/>
      <c r="G34" s="40" t="s">
        <v>33</v>
      </c>
      <c r="H34" s="128">
        <v>1</v>
      </c>
    </row>
    <row r="35" spans="1:11" ht="25.5">
      <c r="A35" s="145"/>
      <c r="B35" s="31"/>
      <c r="C35" s="36"/>
      <c r="D35" s="37"/>
      <c r="E35" s="77" t="s">
        <v>1996</v>
      </c>
      <c r="F35" s="46">
        <v>1</v>
      </c>
      <c r="G35" s="40"/>
      <c r="H35" s="30"/>
    </row>
    <row r="36" spans="1:11">
      <c r="A36" s="145"/>
      <c r="B36" s="31"/>
      <c r="C36" s="36"/>
      <c r="D36" s="37"/>
      <c r="E36" s="38"/>
      <c r="F36" s="39"/>
      <c r="G36" s="40"/>
      <c r="H36" s="30"/>
    </row>
    <row r="37" spans="1:11" ht="27.75" customHeight="1">
      <c r="A37" s="34">
        <f>MAX(A$1:A36)+1</f>
        <v>6</v>
      </c>
      <c r="B37" s="43"/>
      <c r="C37" s="36" t="s">
        <v>34</v>
      </c>
      <c r="D37" s="37"/>
      <c r="E37" s="38" t="s">
        <v>35</v>
      </c>
      <c r="F37" s="39"/>
      <c r="G37" s="40" t="s">
        <v>36</v>
      </c>
      <c r="H37" s="128">
        <v>175</v>
      </c>
    </row>
    <row r="38" spans="1:11">
      <c r="A38" s="145"/>
      <c r="B38" s="31"/>
      <c r="C38" s="31"/>
      <c r="D38" s="32"/>
      <c r="E38" s="77" t="s">
        <v>1997</v>
      </c>
      <c r="F38" s="81">
        <v>29</v>
      </c>
      <c r="G38" s="29"/>
      <c r="H38" s="30"/>
      <c r="I38" s="111"/>
      <c r="J38" s="111"/>
      <c r="K38" s="111"/>
    </row>
    <row r="39" spans="1:11">
      <c r="A39" s="145"/>
      <c r="B39" s="31"/>
      <c r="C39" s="31"/>
      <c r="D39" s="32"/>
      <c r="E39" s="77" t="s">
        <v>1998</v>
      </c>
      <c r="F39" s="81">
        <v>14</v>
      </c>
      <c r="G39" s="29"/>
      <c r="H39" s="30"/>
      <c r="J39" s="111"/>
      <c r="K39" s="111"/>
    </row>
    <row r="40" spans="1:11">
      <c r="A40" s="145"/>
      <c r="B40" s="31"/>
      <c r="C40" s="31"/>
      <c r="D40" s="32"/>
      <c r="E40" s="77" t="s">
        <v>1999</v>
      </c>
      <c r="F40" s="81">
        <v>30</v>
      </c>
      <c r="G40" s="29"/>
      <c r="H40" s="30"/>
      <c r="J40" s="111"/>
      <c r="K40" s="111"/>
    </row>
    <row r="41" spans="1:11" ht="25.5">
      <c r="A41" s="145"/>
      <c r="B41" s="31"/>
      <c r="C41" s="31"/>
      <c r="D41" s="32"/>
      <c r="E41" s="77" t="s">
        <v>2000</v>
      </c>
      <c r="F41" s="81">
        <v>2</v>
      </c>
      <c r="G41" s="29"/>
      <c r="H41" s="30"/>
      <c r="J41" s="111"/>
      <c r="K41" s="111"/>
    </row>
    <row r="42" spans="1:11">
      <c r="A42" s="145"/>
      <c r="B42" s="31"/>
      <c r="C42" s="31"/>
      <c r="D42" s="32"/>
      <c r="E42" s="77" t="s">
        <v>2001</v>
      </c>
      <c r="F42" s="133">
        <v>100</v>
      </c>
      <c r="G42" s="29"/>
      <c r="H42" s="30"/>
    </row>
    <row r="43" spans="1:11">
      <c r="A43" s="145"/>
      <c r="B43" s="31"/>
      <c r="C43" s="31"/>
      <c r="D43" s="32"/>
      <c r="E43" s="77"/>
      <c r="F43" s="81">
        <f>SUM(F38:F42)</f>
        <v>175</v>
      </c>
      <c r="G43" s="29"/>
      <c r="H43" s="30"/>
    </row>
    <row r="44" spans="1:11">
      <c r="A44" s="145"/>
      <c r="B44" s="31"/>
      <c r="C44" s="31"/>
      <c r="D44" s="32"/>
      <c r="E44" s="33"/>
      <c r="F44" s="81"/>
      <c r="G44" s="29"/>
      <c r="H44" s="30"/>
    </row>
    <row r="45" spans="1:11">
      <c r="A45" s="34">
        <f>MAX(A$1:A44)+1</f>
        <v>7</v>
      </c>
      <c r="B45" s="31"/>
      <c r="C45" s="36" t="s">
        <v>37</v>
      </c>
      <c r="D45" s="37"/>
      <c r="E45" s="38" t="s">
        <v>38</v>
      </c>
      <c r="F45" s="39"/>
      <c r="G45" s="40" t="s">
        <v>15</v>
      </c>
      <c r="H45" s="128">
        <v>47.030000000000008</v>
      </c>
      <c r="I45" s="710"/>
    </row>
    <row r="46" spans="1:11">
      <c r="A46" s="145"/>
      <c r="B46" s="31"/>
      <c r="C46" s="36"/>
      <c r="D46" s="67" t="s">
        <v>2002</v>
      </c>
      <c r="E46" s="71" t="s">
        <v>2003</v>
      </c>
      <c r="F46" s="61"/>
      <c r="G46" s="62" t="s">
        <v>15</v>
      </c>
      <c r="H46" s="124">
        <v>6.57</v>
      </c>
      <c r="I46" s="710"/>
    </row>
    <row r="47" spans="1:11">
      <c r="A47" s="145"/>
      <c r="B47" s="31"/>
      <c r="C47" s="36"/>
      <c r="D47" s="67"/>
      <c r="E47" s="84" t="s">
        <v>1616</v>
      </c>
      <c r="F47" s="61"/>
      <c r="G47" s="62"/>
      <c r="H47" s="128"/>
      <c r="I47" s="710"/>
    </row>
    <row r="48" spans="1:11" ht="25.5">
      <c r="A48" s="145"/>
      <c r="B48" s="31"/>
      <c r="C48" s="36"/>
      <c r="D48" s="67"/>
      <c r="E48" s="77" t="s">
        <v>2004</v>
      </c>
      <c r="F48" s="81">
        <f>F18*2.2</f>
        <v>2.2000000000000002</v>
      </c>
      <c r="G48" s="62"/>
      <c r="H48" s="128"/>
      <c r="I48" s="280"/>
      <c r="J48" s="111"/>
    </row>
    <row r="49" spans="1:11" ht="25.5">
      <c r="A49" s="145"/>
      <c r="B49" s="31"/>
      <c r="C49" s="36"/>
      <c r="D49" s="67"/>
      <c r="E49" s="77" t="s">
        <v>2005</v>
      </c>
      <c r="F49" s="69">
        <f>F35*0.52</f>
        <v>0.52</v>
      </c>
      <c r="G49" s="62"/>
      <c r="H49" s="128"/>
      <c r="I49" s="280"/>
      <c r="J49" s="111"/>
    </row>
    <row r="50" spans="1:11">
      <c r="A50" s="145"/>
      <c r="B50" s="31"/>
      <c r="C50" s="36"/>
      <c r="D50" s="67"/>
      <c r="E50" s="77"/>
      <c r="F50" s="81">
        <f>SUM(F48:F49)</f>
        <v>2.72</v>
      </c>
      <c r="G50" s="62"/>
      <c r="H50" s="128"/>
      <c r="I50" s="280"/>
      <c r="J50" s="111"/>
      <c r="K50" s="111"/>
    </row>
    <row r="51" spans="1:11">
      <c r="A51" s="145"/>
      <c r="B51" s="31"/>
      <c r="C51" s="36"/>
      <c r="D51" s="67"/>
      <c r="E51" s="77"/>
      <c r="F51" s="81"/>
      <c r="G51" s="62"/>
      <c r="H51" s="128"/>
      <c r="I51" s="280"/>
      <c r="J51" s="111"/>
      <c r="K51" s="111"/>
    </row>
    <row r="52" spans="1:11">
      <c r="A52" s="145"/>
      <c r="B52" s="31"/>
      <c r="C52" s="36"/>
      <c r="D52" s="37"/>
      <c r="E52" s="84" t="s">
        <v>2006</v>
      </c>
      <c r="F52" s="39"/>
      <c r="G52" s="40"/>
      <c r="H52" s="128"/>
      <c r="I52" s="280"/>
      <c r="J52" s="111"/>
      <c r="K52" s="111"/>
    </row>
    <row r="53" spans="1:11" ht="25.5">
      <c r="A53" s="145"/>
      <c r="B53" s="31"/>
      <c r="C53" s="36"/>
      <c r="D53" s="37"/>
      <c r="E53" s="77" t="s">
        <v>2007</v>
      </c>
      <c r="F53" s="81">
        <f>F19*2.2</f>
        <v>3.8500000000000005</v>
      </c>
      <c r="G53" s="40"/>
      <c r="H53" s="128"/>
      <c r="I53" s="280"/>
      <c r="J53" s="111"/>
    </row>
    <row r="54" spans="1:11">
      <c r="A54" s="145"/>
      <c r="B54" s="31"/>
      <c r="C54" s="36"/>
      <c r="D54" s="37"/>
      <c r="E54" s="91" t="s">
        <v>41</v>
      </c>
      <c r="F54" s="92">
        <f>F50+F53</f>
        <v>6.57</v>
      </c>
      <c r="G54" s="40"/>
      <c r="H54" s="128"/>
      <c r="I54" s="710"/>
    </row>
    <row r="55" spans="1:11">
      <c r="A55" s="145"/>
      <c r="B55" s="31"/>
      <c r="C55" s="66"/>
      <c r="D55" s="67" t="s">
        <v>39</v>
      </c>
      <c r="E55" s="71" t="s">
        <v>40</v>
      </c>
      <c r="F55" s="61"/>
      <c r="G55" s="62" t="s">
        <v>15</v>
      </c>
      <c r="H55" s="124">
        <v>40.460000000000008</v>
      </c>
    </row>
    <row r="56" spans="1:11">
      <c r="A56" s="145"/>
      <c r="B56" s="31"/>
      <c r="C56" s="31"/>
      <c r="D56" s="32"/>
      <c r="E56" s="121" t="s">
        <v>71</v>
      </c>
      <c r="F56" s="81"/>
      <c r="G56" s="29"/>
      <c r="H56" s="30"/>
    </row>
    <row r="57" spans="1:11" ht="25.5">
      <c r="A57" s="145"/>
      <c r="B57" s="31"/>
      <c r="C57" s="31"/>
      <c r="D57" s="32"/>
      <c r="E57" s="77" t="s">
        <v>2008</v>
      </c>
      <c r="F57" s="81">
        <f>F17*2.2</f>
        <v>6.160000000000001</v>
      </c>
      <c r="G57" s="29"/>
      <c r="H57" s="30"/>
    </row>
    <row r="58" spans="1:11" ht="25.5">
      <c r="A58" s="145"/>
      <c r="B58" s="31"/>
      <c r="C58" s="31"/>
      <c r="D58" s="32"/>
      <c r="E58" s="77" t="s">
        <v>2009</v>
      </c>
      <c r="F58" s="81">
        <f>F22*2.2</f>
        <v>1.4080000000000004</v>
      </c>
      <c r="G58" s="29"/>
      <c r="H58" s="30"/>
    </row>
    <row r="59" spans="1:11" ht="25.5">
      <c r="A59" s="145"/>
      <c r="B59" s="31"/>
      <c r="C59" s="31"/>
      <c r="D59" s="32"/>
      <c r="E59" s="77" t="s">
        <v>2010</v>
      </c>
      <c r="F59" s="81">
        <f>F24*2.2</f>
        <v>5.6320000000000014</v>
      </c>
      <c r="G59" s="29"/>
      <c r="H59" s="30"/>
    </row>
    <row r="60" spans="1:11" ht="25.5">
      <c r="A60" s="145"/>
      <c r="B60" s="31"/>
      <c r="C60" s="31"/>
      <c r="D60" s="32"/>
      <c r="E60" s="77" t="s">
        <v>2011</v>
      </c>
      <c r="F60" s="81">
        <f>F32*2.2</f>
        <v>5.742</v>
      </c>
      <c r="G60" s="29"/>
      <c r="H60" s="30"/>
    </row>
    <row r="61" spans="1:11" ht="25.5">
      <c r="A61" s="145"/>
      <c r="B61" s="31"/>
      <c r="C61" s="31"/>
      <c r="D61" s="32"/>
      <c r="E61" s="77" t="s">
        <v>2012</v>
      </c>
      <c r="F61" s="81">
        <f>F25*2.2</f>
        <v>2.9040000000000004</v>
      </c>
      <c r="G61" s="29"/>
      <c r="H61" s="30"/>
    </row>
    <row r="62" spans="1:11" ht="25.5">
      <c r="A62" s="145"/>
      <c r="B62" s="31"/>
      <c r="C62" s="31"/>
      <c r="D62" s="32"/>
      <c r="E62" s="77" t="s">
        <v>2013</v>
      </c>
      <c r="F62" s="133">
        <f>F28*2.2</f>
        <v>14.960000000000003</v>
      </c>
      <c r="G62" s="29"/>
      <c r="H62" s="30"/>
    </row>
    <row r="63" spans="1:11">
      <c r="A63" s="145"/>
      <c r="B63" s="31"/>
      <c r="C63" s="31"/>
      <c r="D63" s="32"/>
      <c r="E63" s="77"/>
      <c r="F63" s="81">
        <f>SUM(F57:F62)</f>
        <v>36.806000000000004</v>
      </c>
      <c r="G63" s="29"/>
      <c r="H63" s="30"/>
    </row>
    <row r="64" spans="1:11">
      <c r="A64" s="145"/>
      <c r="B64" s="31"/>
      <c r="C64" s="31"/>
      <c r="D64" s="32"/>
      <c r="E64" s="77"/>
      <c r="F64" s="81"/>
      <c r="G64" s="29"/>
      <c r="H64" s="30"/>
    </row>
    <row r="65" spans="1:17">
      <c r="A65" s="145"/>
      <c r="B65" s="31"/>
      <c r="C65" s="31"/>
      <c r="D65" s="32"/>
      <c r="E65" s="121" t="s">
        <v>142</v>
      </c>
      <c r="F65" s="81"/>
      <c r="G65" s="29"/>
      <c r="H65" s="30"/>
    </row>
    <row r="66" spans="1:17" ht="25.5">
      <c r="A66" s="145"/>
      <c r="B66" s="31"/>
      <c r="C66" s="31"/>
      <c r="D66" s="32"/>
      <c r="E66" s="77" t="s">
        <v>2014</v>
      </c>
      <c r="F66" s="81">
        <f>F38*0.018</f>
        <v>0.52199999999999991</v>
      </c>
      <c r="G66" s="29"/>
      <c r="H66" s="30"/>
    </row>
    <row r="67" spans="1:17" ht="25.5">
      <c r="A67" s="145"/>
      <c r="B67" s="31"/>
      <c r="C67" s="31"/>
      <c r="D67" s="32"/>
      <c r="E67" s="77" t="s">
        <v>2015</v>
      </c>
      <c r="F67" s="81">
        <f>F39*0.005</f>
        <v>7.0000000000000007E-2</v>
      </c>
      <c r="G67" s="29"/>
      <c r="H67" s="30"/>
    </row>
    <row r="68" spans="1:17" ht="25.5">
      <c r="A68" s="145"/>
      <c r="B68" s="31"/>
      <c r="C68" s="31"/>
      <c r="D68" s="32"/>
      <c r="E68" s="77" t="s">
        <v>2016</v>
      </c>
      <c r="F68" s="81">
        <f>F40*0.0079</f>
        <v>0.23700000000000002</v>
      </c>
      <c r="G68" s="29"/>
      <c r="H68" s="30"/>
    </row>
    <row r="69" spans="1:17" ht="25.5">
      <c r="A69" s="145"/>
      <c r="B69" s="31"/>
      <c r="C69" s="31"/>
      <c r="D69" s="32"/>
      <c r="E69" s="77" t="s">
        <v>2017</v>
      </c>
      <c r="F69" s="81">
        <f>F41*0.015</f>
        <v>0.03</v>
      </c>
      <c r="G69" s="29"/>
      <c r="H69" s="30"/>
    </row>
    <row r="70" spans="1:17" ht="25.5">
      <c r="A70" s="145"/>
      <c r="B70" s="31"/>
      <c r="C70" s="31"/>
      <c r="D70" s="32"/>
      <c r="E70" s="77" t="s">
        <v>2018</v>
      </c>
      <c r="F70" s="133">
        <f>F42*0.02795</f>
        <v>2.7949999999999999</v>
      </c>
      <c r="G70" s="29"/>
      <c r="H70" s="30"/>
    </row>
    <row r="71" spans="1:17">
      <c r="A71" s="145"/>
      <c r="B71" s="31"/>
      <c r="C71" s="31"/>
      <c r="D71" s="32"/>
      <c r="E71" s="77"/>
      <c r="F71" s="81">
        <f>SUM(F66:F70)</f>
        <v>3.6539999999999999</v>
      </c>
      <c r="G71" s="29"/>
      <c r="H71" s="30"/>
    </row>
    <row r="72" spans="1:17">
      <c r="A72" s="145"/>
      <c r="B72" s="31"/>
      <c r="C72" s="31"/>
      <c r="D72" s="32"/>
      <c r="E72" s="91" t="s">
        <v>41</v>
      </c>
      <c r="F72" s="151">
        <f>F63+F71</f>
        <v>40.460000000000008</v>
      </c>
      <c r="G72" s="29"/>
      <c r="H72" s="30"/>
    </row>
    <row r="73" spans="1:17">
      <c r="A73" s="145"/>
      <c r="B73" s="31"/>
      <c r="C73" s="31"/>
      <c r="D73" s="32"/>
      <c r="E73" s="77"/>
      <c r="F73" s="81"/>
      <c r="G73" s="29"/>
      <c r="H73" s="30"/>
    </row>
    <row r="74" spans="1:17" s="98" customFormat="1">
      <c r="A74" s="95"/>
      <c r="B74" s="35" t="s">
        <v>54</v>
      </c>
      <c r="C74" s="93"/>
      <c r="D74" s="94"/>
      <c r="E74" s="50" t="s">
        <v>55</v>
      </c>
      <c r="F74" s="100"/>
      <c r="G74" s="101"/>
      <c r="H74" s="42"/>
      <c r="I74"/>
      <c r="J74"/>
      <c r="K74"/>
      <c r="L74"/>
      <c r="Q74"/>
    </row>
    <row r="75" spans="1:17">
      <c r="A75" s="34"/>
      <c r="B75" s="31"/>
      <c r="C75" s="31"/>
      <c r="D75" s="32"/>
      <c r="E75" s="33"/>
      <c r="F75" s="81"/>
      <c r="G75" s="29"/>
      <c r="H75" s="30"/>
    </row>
    <row r="76" spans="1:17">
      <c r="A76" s="34">
        <f>MAX(A$1:A67)+1</f>
        <v>8</v>
      </c>
      <c r="B76" s="31"/>
      <c r="C76" s="36" t="s">
        <v>74</v>
      </c>
      <c r="D76" s="37"/>
      <c r="E76" s="38" t="s">
        <v>75</v>
      </c>
      <c r="F76" s="39"/>
      <c r="G76" s="40" t="s">
        <v>18</v>
      </c>
      <c r="H76" s="64">
        <v>12.1</v>
      </c>
    </row>
    <row r="77" spans="1:17">
      <c r="A77" s="34"/>
      <c r="B77" s="31"/>
      <c r="C77" s="31"/>
      <c r="D77" s="67" t="s">
        <v>76</v>
      </c>
      <c r="E77" s="71" t="s">
        <v>77</v>
      </c>
      <c r="F77" s="61"/>
      <c r="G77" s="62" t="s">
        <v>18</v>
      </c>
      <c r="H77" s="83">
        <v>12.1</v>
      </c>
    </row>
    <row r="78" spans="1:17" ht="25.5">
      <c r="A78" s="34"/>
      <c r="B78" s="31"/>
      <c r="C78" s="31"/>
      <c r="D78" s="32"/>
      <c r="E78" s="77" t="s">
        <v>2019</v>
      </c>
      <c r="F78" s="156">
        <f>1.2*1.2*1.2*7</f>
        <v>12.096</v>
      </c>
      <c r="G78" s="931"/>
      <c r="H78" s="30"/>
    </row>
    <row r="79" spans="1:17">
      <c r="A79" s="34"/>
      <c r="B79" s="31"/>
      <c r="C79" s="31"/>
      <c r="D79" s="32"/>
      <c r="E79" s="33"/>
      <c r="F79" s="156"/>
      <c r="G79" s="931"/>
      <c r="H79" s="30"/>
    </row>
    <row r="80" spans="1:17">
      <c r="A80" s="34">
        <f>MAX(A$1:A76)+1</f>
        <v>9</v>
      </c>
      <c r="B80" s="43"/>
      <c r="C80" s="36" t="s">
        <v>400</v>
      </c>
      <c r="D80" s="37"/>
      <c r="E80" s="38" t="s">
        <v>401</v>
      </c>
      <c r="F80" s="232"/>
      <c r="G80" s="243" t="s">
        <v>18</v>
      </c>
      <c r="H80" s="64">
        <v>14.7</v>
      </c>
      <c r="I80" s="4"/>
    </row>
    <row r="81" spans="1:9">
      <c r="A81" s="72"/>
      <c r="B81" s="73"/>
      <c r="C81" s="617"/>
      <c r="D81" s="67" t="s">
        <v>402</v>
      </c>
      <c r="E81" s="71" t="s">
        <v>403</v>
      </c>
      <c r="F81" s="61"/>
      <c r="G81" s="62" t="s">
        <v>18</v>
      </c>
      <c r="H81" s="83">
        <v>13.5</v>
      </c>
    </row>
    <row r="82" spans="1:9" ht="25.5">
      <c r="A82" s="72"/>
      <c r="B82" s="73"/>
      <c r="C82" s="918"/>
      <c r="D82" s="67"/>
      <c r="E82" s="65" t="s">
        <v>2020</v>
      </c>
      <c r="F82" s="46">
        <f>0.4*0.4*0.8*23</f>
        <v>2.9440000000000008</v>
      </c>
      <c r="G82" s="62"/>
      <c r="H82" s="83"/>
    </row>
    <row r="83" spans="1:9" ht="25.5">
      <c r="A83" s="72"/>
      <c r="B83" s="73"/>
      <c r="C83" s="918"/>
      <c r="D83" s="67"/>
      <c r="E83" s="65" t="s">
        <v>2021</v>
      </c>
      <c r="F83" s="46">
        <f>0.4*0.5*0.6*6</f>
        <v>0.72</v>
      </c>
      <c r="G83" s="62"/>
      <c r="H83" s="83"/>
    </row>
    <row r="84" spans="1:9" ht="25.5">
      <c r="A84" s="72"/>
      <c r="B84" s="73"/>
      <c r="C84" s="918"/>
      <c r="D84" s="67"/>
      <c r="E84" s="65" t="s">
        <v>2022</v>
      </c>
      <c r="F84" s="46">
        <f>0.4*0.4*0.8*8</f>
        <v>1.0240000000000002</v>
      </c>
      <c r="G84" s="62"/>
      <c r="H84" s="83"/>
    </row>
    <row r="85" spans="1:9" ht="25.5">
      <c r="A85" s="72"/>
      <c r="B85" s="73"/>
      <c r="C85" s="918"/>
      <c r="D85" s="67"/>
      <c r="E85" s="65" t="s">
        <v>2023</v>
      </c>
      <c r="F85" s="46">
        <f>0.4*0.4*0.8*16</f>
        <v>2.0480000000000005</v>
      </c>
      <c r="G85" s="62"/>
      <c r="H85" s="83"/>
    </row>
    <row r="86" spans="1:9" ht="25.5">
      <c r="A86" s="72"/>
      <c r="B86" s="73"/>
      <c r="C86" s="918"/>
      <c r="D86" s="67"/>
      <c r="E86" s="65" t="s">
        <v>2024</v>
      </c>
      <c r="F86" s="46">
        <f>0.4*0.5*0.6*8</f>
        <v>0.96</v>
      </c>
      <c r="G86" s="62"/>
      <c r="H86" s="83"/>
    </row>
    <row r="87" spans="1:9" ht="25.5">
      <c r="A87" s="72"/>
      <c r="B87" s="73"/>
      <c r="C87" s="918"/>
      <c r="D87" s="67"/>
      <c r="E87" s="65" t="s">
        <v>2025</v>
      </c>
      <c r="F87" s="46">
        <f>0.4*0.4*0.8*35</f>
        <v>4.4800000000000013</v>
      </c>
      <c r="G87" s="62"/>
      <c r="H87" s="83"/>
    </row>
    <row r="88" spans="1:9" ht="25.5">
      <c r="A88" s="72"/>
      <c r="B88" s="73"/>
      <c r="C88" s="918"/>
      <c r="D88" s="67"/>
      <c r="E88" s="65" t="s">
        <v>2026</v>
      </c>
      <c r="F88" s="69">
        <f>0.4*0.5*0.6*11</f>
        <v>1.3199999999999998</v>
      </c>
      <c r="G88" s="62"/>
      <c r="H88" s="83"/>
    </row>
    <row r="89" spans="1:9">
      <c r="A89" s="72"/>
      <c r="B89" s="73"/>
      <c r="C89" s="918"/>
      <c r="D89" s="67"/>
      <c r="E89" s="65"/>
      <c r="F89" s="46">
        <f>SUM(F82:F88)</f>
        <v>13.496000000000002</v>
      </c>
      <c r="G89" s="62"/>
      <c r="H89" s="83"/>
    </row>
    <row r="90" spans="1:9">
      <c r="A90" s="72"/>
      <c r="B90" s="73"/>
      <c r="C90" s="918"/>
      <c r="D90" s="67" t="s">
        <v>2027</v>
      </c>
      <c r="E90" s="71" t="s">
        <v>2028</v>
      </c>
      <c r="F90" s="61"/>
      <c r="G90" s="62" t="s">
        <v>18</v>
      </c>
      <c r="H90" s="83">
        <v>1.2000000000000002</v>
      </c>
    </row>
    <row r="91" spans="1:9">
      <c r="A91" s="72"/>
      <c r="B91" s="73"/>
      <c r="C91" s="918"/>
      <c r="D91" s="67"/>
      <c r="E91" s="932" t="s">
        <v>2029</v>
      </c>
      <c r="F91" s="46"/>
      <c r="G91" s="62"/>
      <c r="H91" s="83"/>
    </row>
    <row r="92" spans="1:9" ht="25.5">
      <c r="A92" s="72"/>
      <c r="B92" s="73"/>
      <c r="C92" s="918"/>
      <c r="D92" s="67"/>
      <c r="E92" s="65" t="s">
        <v>2030</v>
      </c>
      <c r="F92" s="46">
        <f>0.4*0.4*1.5*5</f>
        <v>1.2000000000000002</v>
      </c>
      <c r="G92" s="62"/>
      <c r="H92" s="83"/>
    </row>
    <row r="93" spans="1:9">
      <c r="A93" s="72"/>
      <c r="B93" s="73"/>
      <c r="C93" s="918"/>
      <c r="D93" s="67"/>
      <c r="E93" s="65"/>
      <c r="F93" s="46"/>
      <c r="G93" s="62"/>
      <c r="H93" s="83"/>
    </row>
    <row r="94" spans="1:9">
      <c r="A94" s="34">
        <f>MAX(A$1:A93)+1</f>
        <v>10</v>
      </c>
      <c r="B94" s="43"/>
      <c r="C94" s="36" t="s">
        <v>78</v>
      </c>
      <c r="D94" s="37"/>
      <c r="E94" s="38" t="s">
        <v>79</v>
      </c>
      <c r="F94" s="39"/>
      <c r="G94" s="40" t="s">
        <v>18</v>
      </c>
      <c r="H94" s="64">
        <v>18.14</v>
      </c>
      <c r="I94" s="710"/>
    </row>
    <row r="95" spans="1:9">
      <c r="A95" s="72"/>
      <c r="B95" s="73"/>
      <c r="C95" s="66"/>
      <c r="D95" s="67" t="s">
        <v>80</v>
      </c>
      <c r="E95" s="71" t="s">
        <v>81</v>
      </c>
      <c r="F95" s="61"/>
      <c r="G95" s="62" t="s">
        <v>18</v>
      </c>
      <c r="H95" s="83">
        <v>18.14</v>
      </c>
    </row>
    <row r="96" spans="1:9" ht="27" customHeight="1">
      <c r="A96" s="72"/>
      <c r="B96" s="73"/>
      <c r="C96" s="66"/>
      <c r="D96" s="67"/>
      <c r="E96" s="68" t="s">
        <v>2031</v>
      </c>
      <c r="F96" s="46">
        <f>0.5*0.5*0.8*14+0.5*0.5*1*11</f>
        <v>5.5500000000000007</v>
      </c>
      <c r="G96" s="62"/>
      <c r="H96" s="83"/>
    </row>
    <row r="97" spans="1:8" ht="27" customHeight="1">
      <c r="A97" s="72"/>
      <c r="B97" s="73"/>
      <c r="C97" s="66"/>
      <c r="D97" s="67"/>
      <c r="E97" s="68" t="s">
        <v>2032</v>
      </c>
      <c r="F97" s="46">
        <f>(1.45*1.45*0.2-0.5*0.5*0.2)*7</f>
        <v>2.5935000000000006</v>
      </c>
      <c r="G97" s="62"/>
      <c r="H97" s="83"/>
    </row>
    <row r="98" spans="1:8" ht="25.5">
      <c r="A98" s="72"/>
      <c r="B98" s="73"/>
      <c r="C98" s="66"/>
      <c r="D98" s="67"/>
      <c r="E98" s="65" t="s">
        <v>2033</v>
      </c>
      <c r="F98" s="46">
        <f>0.4*0.4*0.8*5</f>
        <v>0.64000000000000012</v>
      </c>
      <c r="G98" s="62"/>
      <c r="H98" s="83"/>
    </row>
    <row r="99" spans="1:8" ht="25.5">
      <c r="A99" s="72"/>
      <c r="B99" s="73"/>
      <c r="C99" s="66"/>
      <c r="D99" s="67"/>
      <c r="E99" s="65" t="s">
        <v>2034</v>
      </c>
      <c r="F99" s="46">
        <f>0.4*0.4*0.8*20</f>
        <v>2.5600000000000005</v>
      </c>
      <c r="G99" s="62"/>
      <c r="H99" s="83"/>
    </row>
    <row r="100" spans="1:8" ht="25.5">
      <c r="A100" s="34"/>
      <c r="B100" s="31"/>
      <c r="C100" s="31"/>
      <c r="D100" s="32"/>
      <c r="E100" s="65" t="s">
        <v>2035</v>
      </c>
      <c r="F100" s="69">
        <f>0.5*0.5*0.8*34</f>
        <v>6.8000000000000007</v>
      </c>
      <c r="G100" s="29"/>
      <c r="H100" s="30"/>
    </row>
    <row r="101" spans="1:8">
      <c r="A101" s="34"/>
      <c r="B101" s="31"/>
      <c r="C101" s="31"/>
      <c r="D101" s="32"/>
      <c r="E101" s="65"/>
      <c r="F101" s="46">
        <f>SUM(F96:F100)</f>
        <v>18.143500000000003</v>
      </c>
      <c r="G101" s="29"/>
      <c r="H101" s="30"/>
    </row>
    <row r="102" spans="1:8">
      <c r="A102" s="34"/>
      <c r="B102" s="31"/>
      <c r="C102" s="31"/>
      <c r="D102" s="32"/>
      <c r="E102" s="158"/>
      <c r="F102" s="711"/>
      <c r="G102" s="29"/>
      <c r="H102" s="30"/>
    </row>
    <row r="103" spans="1:8">
      <c r="A103" s="34"/>
      <c r="B103" s="35" t="s">
        <v>56</v>
      </c>
      <c r="C103" s="93"/>
      <c r="D103" s="94"/>
      <c r="E103" s="96" t="s">
        <v>57</v>
      </c>
      <c r="F103" s="160"/>
      <c r="G103" s="29"/>
      <c r="H103" s="30"/>
    </row>
    <row r="104" spans="1:8">
      <c r="A104" s="34"/>
      <c r="B104" s="31"/>
      <c r="C104" s="31"/>
      <c r="D104" s="32"/>
      <c r="E104" s="492"/>
      <c r="F104" s="148"/>
      <c r="G104" s="29"/>
      <c r="H104" s="30"/>
    </row>
    <row r="105" spans="1:8">
      <c r="A105" s="34">
        <f>MAX(A$1:A104)+1</f>
        <v>11</v>
      </c>
      <c r="B105" s="31"/>
      <c r="C105" s="36" t="s">
        <v>58</v>
      </c>
      <c r="D105" s="37"/>
      <c r="E105" s="38" t="s">
        <v>59</v>
      </c>
      <c r="F105" s="39"/>
      <c r="G105" s="40" t="s">
        <v>18</v>
      </c>
      <c r="H105" s="64">
        <v>8.65</v>
      </c>
    </row>
    <row r="106" spans="1:8">
      <c r="A106" s="34"/>
      <c r="B106" s="31"/>
      <c r="C106" s="66"/>
      <c r="D106" s="67" t="s">
        <v>60</v>
      </c>
      <c r="E106" s="71" t="s">
        <v>61</v>
      </c>
      <c r="F106" s="61"/>
      <c r="G106" s="62" t="s">
        <v>18</v>
      </c>
      <c r="H106" s="83">
        <v>7.45</v>
      </c>
    </row>
    <row r="107" spans="1:8">
      <c r="A107" s="34"/>
      <c r="B107" s="31"/>
      <c r="C107" s="31"/>
      <c r="D107" s="32"/>
      <c r="E107" s="157" t="s">
        <v>1212</v>
      </c>
      <c r="F107" s="81">
        <f>F120</f>
        <v>7.4484999999999992</v>
      </c>
      <c r="G107" s="29"/>
      <c r="H107" s="30"/>
    </row>
    <row r="108" spans="1:8">
      <c r="A108" s="34"/>
      <c r="B108" s="31"/>
      <c r="C108" s="31"/>
      <c r="D108" s="67" t="s">
        <v>442</v>
      </c>
      <c r="E108" s="71" t="s">
        <v>443</v>
      </c>
      <c r="F108" s="61"/>
      <c r="G108" s="62" t="s">
        <v>18</v>
      </c>
      <c r="H108" s="124">
        <v>1.2000000000000002</v>
      </c>
    </row>
    <row r="109" spans="1:8">
      <c r="A109" s="34"/>
      <c r="B109" s="31"/>
      <c r="C109" s="31"/>
      <c r="D109" s="67"/>
      <c r="E109" s="157" t="s">
        <v>1212</v>
      </c>
      <c r="F109" s="46">
        <f>F92</f>
        <v>1.2000000000000002</v>
      </c>
      <c r="G109" s="62"/>
      <c r="H109" s="30"/>
    </row>
    <row r="110" spans="1:8">
      <c r="A110" s="34"/>
      <c r="B110" s="31"/>
      <c r="C110" s="31"/>
      <c r="D110" s="32"/>
      <c r="E110" s="77"/>
      <c r="F110" s="148"/>
      <c r="G110" s="29"/>
      <c r="H110" s="30"/>
    </row>
    <row r="111" spans="1:8">
      <c r="A111" s="34">
        <f>MAX(A$1:A110)+1</f>
        <v>12</v>
      </c>
      <c r="B111" s="43"/>
      <c r="C111" s="36" t="s">
        <v>175</v>
      </c>
      <c r="D111" s="37"/>
      <c r="E111" s="38" t="s">
        <v>775</v>
      </c>
      <c r="F111" s="39"/>
      <c r="G111" s="40" t="s">
        <v>18</v>
      </c>
      <c r="H111" s="64">
        <v>36.29</v>
      </c>
    </row>
    <row r="112" spans="1:8" ht="25.5">
      <c r="A112" s="72"/>
      <c r="B112" s="73"/>
      <c r="C112" s="66"/>
      <c r="D112" s="67" t="s">
        <v>177</v>
      </c>
      <c r="E112" s="71" t="s">
        <v>178</v>
      </c>
      <c r="F112" s="61"/>
      <c r="G112" s="62" t="s">
        <v>18</v>
      </c>
      <c r="H112" s="83">
        <v>36.29</v>
      </c>
    </row>
    <row r="113" spans="1:8">
      <c r="A113" s="34"/>
      <c r="B113" s="31"/>
      <c r="C113" s="66"/>
      <c r="D113" s="67"/>
      <c r="E113" s="65" t="s">
        <v>179</v>
      </c>
      <c r="F113" s="46">
        <f>F101*2</f>
        <v>36.287000000000006</v>
      </c>
      <c r="G113" s="62"/>
      <c r="H113" s="30"/>
    </row>
    <row r="114" spans="1:8">
      <c r="A114" s="34"/>
      <c r="B114" s="31"/>
      <c r="C114" s="66"/>
      <c r="D114" s="67"/>
      <c r="E114" s="65"/>
      <c r="F114" s="46"/>
      <c r="G114" s="62"/>
      <c r="H114" s="30"/>
    </row>
    <row r="115" spans="1:8">
      <c r="A115" s="34">
        <f>MAX(A$1:A114)+1</f>
        <v>13</v>
      </c>
      <c r="B115" s="43"/>
      <c r="C115" s="36" t="s">
        <v>50</v>
      </c>
      <c r="D115" s="37"/>
      <c r="E115" s="38" t="s">
        <v>51</v>
      </c>
      <c r="F115" s="39"/>
      <c r="G115" s="40" t="s">
        <v>18</v>
      </c>
      <c r="H115" s="64">
        <v>8.65</v>
      </c>
    </row>
    <row r="116" spans="1:8" ht="25.5">
      <c r="A116" s="72"/>
      <c r="B116" s="73"/>
      <c r="C116" s="66"/>
      <c r="D116" s="67" t="s">
        <v>138</v>
      </c>
      <c r="E116" s="71" t="s">
        <v>139</v>
      </c>
      <c r="F116" s="61"/>
      <c r="G116" s="62" t="s">
        <v>18</v>
      </c>
      <c r="H116" s="83">
        <v>7.45</v>
      </c>
    </row>
    <row r="117" spans="1:8">
      <c r="A117" s="34"/>
      <c r="B117" s="31"/>
      <c r="C117" s="31"/>
      <c r="D117" s="32"/>
      <c r="E117" s="712" t="s">
        <v>1216</v>
      </c>
      <c r="F117" s="163"/>
      <c r="G117" s="29"/>
      <c r="H117" s="30"/>
    </row>
    <row r="118" spans="1:8">
      <c r="A118" s="34"/>
      <c r="B118" s="31"/>
      <c r="C118" s="31"/>
      <c r="D118" s="32"/>
      <c r="E118" s="161" t="s">
        <v>66</v>
      </c>
      <c r="F118" s="163">
        <f>F78+F89</f>
        <v>25.592000000000002</v>
      </c>
      <c r="G118" s="29"/>
      <c r="H118" s="30"/>
    </row>
    <row r="119" spans="1:8">
      <c r="A119" s="34"/>
      <c r="B119" s="31"/>
      <c r="C119" s="31"/>
      <c r="D119" s="32"/>
      <c r="E119" s="161" t="s">
        <v>82</v>
      </c>
      <c r="F119" s="162">
        <f>-F101</f>
        <v>-18.143500000000003</v>
      </c>
      <c r="G119" s="29"/>
      <c r="H119" s="30"/>
    </row>
    <row r="120" spans="1:8">
      <c r="A120" s="34"/>
      <c r="B120" s="31"/>
      <c r="C120" s="31"/>
      <c r="D120" s="32"/>
      <c r="E120" s="161"/>
      <c r="F120" s="163">
        <f>SUM(F118:F119)</f>
        <v>7.4484999999999992</v>
      </c>
      <c r="G120" s="29"/>
      <c r="H120" s="30"/>
    </row>
    <row r="121" spans="1:8" ht="25.5">
      <c r="A121" s="34"/>
      <c r="B121" s="31"/>
      <c r="C121" s="31"/>
      <c r="D121" s="67" t="s">
        <v>444</v>
      </c>
      <c r="E121" s="71" t="s">
        <v>445</v>
      </c>
      <c r="F121" s="61"/>
      <c r="G121" s="62" t="s">
        <v>18</v>
      </c>
      <c r="H121" s="124">
        <v>1.2000000000000002</v>
      </c>
    </row>
    <row r="122" spans="1:8">
      <c r="A122" s="34"/>
      <c r="B122" s="31"/>
      <c r="C122" s="31"/>
      <c r="D122" s="32"/>
      <c r="E122" s="712" t="s">
        <v>1216</v>
      </c>
      <c r="F122" s="163"/>
      <c r="G122" s="29"/>
      <c r="H122" s="30"/>
    </row>
    <row r="123" spans="1:8">
      <c r="A123" s="34"/>
      <c r="B123" s="31"/>
      <c r="C123" s="31"/>
      <c r="D123" s="32"/>
      <c r="E123" s="161" t="s">
        <v>66</v>
      </c>
      <c r="F123" s="163">
        <f>F92</f>
        <v>1.2000000000000002</v>
      </c>
      <c r="G123" s="29"/>
      <c r="H123" s="30"/>
    </row>
    <row r="124" spans="1:8">
      <c r="A124" s="34"/>
      <c r="B124" s="31"/>
      <c r="C124" s="31"/>
      <c r="D124" s="32"/>
      <c r="E124" s="164"/>
      <c r="F124" s="163"/>
      <c r="G124" s="29"/>
      <c r="H124" s="30"/>
    </row>
    <row r="125" spans="1:8">
      <c r="A125" s="34">
        <f>MAX(A$1:A124)+1</f>
        <v>14</v>
      </c>
      <c r="B125" s="31"/>
      <c r="C125" s="36" t="s">
        <v>83</v>
      </c>
      <c r="D125" s="37"/>
      <c r="E125" s="38" t="s">
        <v>84</v>
      </c>
      <c r="F125" s="39"/>
      <c r="G125" s="40" t="s">
        <v>18</v>
      </c>
      <c r="H125" s="64">
        <v>18.14</v>
      </c>
    </row>
    <row r="126" spans="1:8" ht="25.5">
      <c r="A126" s="34"/>
      <c r="B126" s="31"/>
      <c r="C126" s="66"/>
      <c r="D126" s="67" t="s">
        <v>85</v>
      </c>
      <c r="E126" s="71" t="s">
        <v>86</v>
      </c>
      <c r="F126" s="61"/>
      <c r="G126" s="62" t="s">
        <v>18</v>
      </c>
      <c r="H126" s="83">
        <v>18.14</v>
      </c>
    </row>
    <row r="127" spans="1:8">
      <c r="A127" s="34"/>
      <c r="B127" s="31"/>
      <c r="C127" s="31"/>
      <c r="D127" s="32"/>
      <c r="E127" s="161" t="s">
        <v>181</v>
      </c>
      <c r="F127" s="163">
        <f>F101</f>
        <v>18.143500000000003</v>
      </c>
      <c r="G127" s="29"/>
      <c r="H127" s="30"/>
    </row>
    <row r="128" spans="1:8">
      <c r="A128" s="34"/>
      <c r="B128" s="31"/>
      <c r="C128" s="31"/>
      <c r="D128" s="32"/>
      <c r="E128" s="161"/>
      <c r="F128" s="163"/>
      <c r="G128" s="29"/>
      <c r="H128" s="30"/>
    </row>
    <row r="129" spans="1:8">
      <c r="A129" s="34"/>
      <c r="B129" s="35" t="s">
        <v>416</v>
      </c>
      <c r="C129" s="35"/>
      <c r="D129" s="94"/>
      <c r="E129" s="50" t="s">
        <v>417</v>
      </c>
      <c r="F129" s="92"/>
      <c r="G129" s="40"/>
      <c r="H129" s="64"/>
    </row>
    <row r="130" spans="1:8">
      <c r="A130" s="34"/>
      <c r="B130" s="35"/>
      <c r="C130" s="35"/>
      <c r="D130" s="94"/>
      <c r="E130" s="50"/>
      <c r="F130" s="92"/>
      <c r="G130" s="40"/>
      <c r="H130" s="64"/>
    </row>
    <row r="131" spans="1:8">
      <c r="A131" s="34">
        <f>MAX(A$1:A130)+1</f>
        <v>15</v>
      </c>
      <c r="B131" s="35"/>
      <c r="C131" s="36" t="s">
        <v>420</v>
      </c>
      <c r="D131" s="37"/>
      <c r="E131" s="38" t="s">
        <v>421</v>
      </c>
      <c r="F131" s="39"/>
      <c r="G131" s="40" t="s">
        <v>18</v>
      </c>
      <c r="H131" s="64">
        <v>11.03</v>
      </c>
    </row>
    <row r="132" spans="1:8">
      <c r="A132" s="34"/>
      <c r="B132" s="35"/>
      <c r="C132" s="35"/>
      <c r="D132" s="191" t="s">
        <v>644</v>
      </c>
      <c r="E132" s="193" t="s">
        <v>645</v>
      </c>
      <c r="F132" s="192"/>
      <c r="G132" s="32" t="s">
        <v>18</v>
      </c>
      <c r="H132" s="83">
        <v>11.03</v>
      </c>
    </row>
    <row r="133" spans="1:8">
      <c r="A133" s="34"/>
      <c r="B133" s="35"/>
      <c r="C133" s="35"/>
      <c r="D133" s="191"/>
      <c r="E133" s="210" t="s">
        <v>2036</v>
      </c>
      <c r="F133" s="192"/>
      <c r="G133" s="32"/>
      <c r="H133" s="64"/>
    </row>
    <row r="134" spans="1:8" ht="51">
      <c r="A134" s="34"/>
      <c r="B134" s="35"/>
      <c r="C134" s="35"/>
      <c r="D134" s="191"/>
      <c r="E134" s="103" t="s">
        <v>2037</v>
      </c>
      <c r="F134" s="192"/>
      <c r="G134" s="32"/>
      <c r="H134" s="64"/>
    </row>
    <row r="135" spans="1:8">
      <c r="A135" s="34"/>
      <c r="B135" s="35"/>
      <c r="C135" s="35"/>
      <c r="D135" s="191"/>
      <c r="E135" s="933" t="s">
        <v>2038</v>
      </c>
      <c r="F135" s="278">
        <f>0.4*0.4*0.8*8</f>
        <v>1.0240000000000002</v>
      </c>
      <c r="G135" s="32"/>
      <c r="H135" s="64"/>
    </row>
    <row r="136" spans="1:8">
      <c r="A136" s="34"/>
      <c r="B136" s="35"/>
      <c r="C136" s="35"/>
      <c r="D136" s="191"/>
      <c r="E136" s="210"/>
      <c r="F136" s="192"/>
      <c r="G136" s="32"/>
      <c r="H136" s="64"/>
    </row>
    <row r="137" spans="1:8">
      <c r="A137" s="34"/>
      <c r="B137" s="35"/>
      <c r="C137" s="35"/>
      <c r="D137" s="191"/>
      <c r="E137" s="210" t="s">
        <v>2039</v>
      </c>
      <c r="F137" s="192"/>
      <c r="G137" s="32"/>
      <c r="H137" s="64"/>
    </row>
    <row r="138" spans="1:8" ht="51">
      <c r="A138" s="34"/>
      <c r="B138" s="35"/>
      <c r="C138" s="35"/>
      <c r="D138" s="191"/>
      <c r="E138" s="103" t="s">
        <v>2037</v>
      </c>
      <c r="F138" s="192"/>
      <c r="G138" s="32"/>
      <c r="H138" s="64"/>
    </row>
    <row r="139" spans="1:8">
      <c r="A139" s="34"/>
      <c r="B139" s="35"/>
      <c r="C139" s="35"/>
      <c r="D139" s="191"/>
      <c r="E139" s="933" t="s">
        <v>2040</v>
      </c>
      <c r="F139" s="278">
        <f>0.4*0.4*0.8*16</f>
        <v>2.0480000000000005</v>
      </c>
      <c r="G139" s="32"/>
      <c r="H139" s="64"/>
    </row>
    <row r="140" spans="1:8">
      <c r="A140" s="34"/>
      <c r="B140" s="35"/>
      <c r="C140" s="35"/>
      <c r="D140" s="191"/>
      <c r="E140" s="103" t="s">
        <v>2041</v>
      </c>
      <c r="F140" s="312">
        <f>0.4*0.5*0.6*8</f>
        <v>0.96</v>
      </c>
      <c r="G140" s="32"/>
      <c r="H140" s="64"/>
    </row>
    <row r="141" spans="1:8">
      <c r="A141" s="34"/>
      <c r="B141" s="35"/>
      <c r="C141" s="35"/>
      <c r="D141" s="191"/>
      <c r="E141" s="210"/>
      <c r="F141" s="278">
        <f>SUM(F139:F140)</f>
        <v>3.0080000000000005</v>
      </c>
      <c r="G141" s="32"/>
      <c r="H141" s="64"/>
    </row>
    <row r="142" spans="1:8">
      <c r="A142" s="34"/>
      <c r="B142" s="35"/>
      <c r="C142" s="35"/>
      <c r="D142" s="191"/>
      <c r="E142" s="210"/>
      <c r="F142" s="278"/>
      <c r="G142" s="32"/>
      <c r="H142" s="64"/>
    </row>
    <row r="143" spans="1:8">
      <c r="A143" s="34"/>
      <c r="B143" s="35"/>
      <c r="C143" s="35"/>
      <c r="D143" s="191"/>
      <c r="E143" s="210" t="s">
        <v>2042</v>
      </c>
      <c r="F143" s="192"/>
      <c r="G143" s="32"/>
      <c r="H143" s="64"/>
    </row>
    <row r="144" spans="1:8" ht="51">
      <c r="A144" s="34"/>
      <c r="B144" s="35"/>
      <c r="C144" s="35"/>
      <c r="D144" s="191"/>
      <c r="E144" s="103" t="s">
        <v>2037</v>
      </c>
      <c r="F144" s="192"/>
      <c r="G144" s="32"/>
      <c r="H144" s="64"/>
    </row>
    <row r="145" spans="1:8" ht="25.5">
      <c r="A145" s="34"/>
      <c r="B145" s="35"/>
      <c r="C145" s="35"/>
      <c r="D145" s="191"/>
      <c r="E145" s="933" t="s">
        <v>2043</v>
      </c>
      <c r="F145" s="278">
        <f>0.4*0.4*0.8*35+0.4*0.4*1.5*5</f>
        <v>5.6800000000000015</v>
      </c>
      <c r="G145" s="32"/>
      <c r="H145" s="64"/>
    </row>
    <row r="146" spans="1:8">
      <c r="A146" s="34"/>
      <c r="B146" s="35"/>
      <c r="C146" s="35"/>
      <c r="D146" s="191"/>
      <c r="E146" s="103" t="s">
        <v>2044</v>
      </c>
      <c r="F146" s="312">
        <f>0.4*0.5*0.6*11</f>
        <v>1.3199999999999998</v>
      </c>
      <c r="G146" s="32"/>
      <c r="H146" s="64"/>
    </row>
    <row r="147" spans="1:8">
      <c r="A147" s="34"/>
      <c r="B147" s="35"/>
      <c r="C147" s="35"/>
      <c r="D147" s="191"/>
      <c r="E147" s="210"/>
      <c r="F147" s="278">
        <f>SUM(F145:F146)</f>
        <v>7.0000000000000018</v>
      </c>
      <c r="G147" s="32"/>
      <c r="H147" s="64"/>
    </row>
    <row r="148" spans="1:8">
      <c r="A148" s="34"/>
      <c r="B148" s="35"/>
      <c r="C148" s="35"/>
      <c r="D148" s="191"/>
      <c r="E148" s="91" t="s">
        <v>41</v>
      </c>
      <c r="F148" s="934">
        <f>F135+F141+F147</f>
        <v>11.032000000000004</v>
      </c>
      <c r="G148" s="32"/>
      <c r="H148" s="64"/>
    </row>
    <row r="149" spans="1:8">
      <c r="A149" s="34"/>
      <c r="B149" s="35"/>
      <c r="C149" s="35"/>
      <c r="D149" s="191"/>
      <c r="E149" s="210"/>
      <c r="F149" s="192"/>
      <c r="G149" s="32"/>
      <c r="H149" s="64"/>
    </row>
    <row r="150" spans="1:8">
      <c r="A150" s="34">
        <f>MAX(A$1:A149)+1</f>
        <v>16</v>
      </c>
      <c r="B150" s="35"/>
      <c r="C150" s="36" t="s">
        <v>611</v>
      </c>
      <c r="D150" s="37"/>
      <c r="E150" s="38" t="s">
        <v>612</v>
      </c>
      <c r="F150" s="39"/>
      <c r="G150" s="40" t="s">
        <v>18</v>
      </c>
      <c r="H150" s="64">
        <v>1.95</v>
      </c>
    </row>
    <row r="151" spans="1:8">
      <c r="A151" s="34"/>
      <c r="B151" s="35"/>
      <c r="C151" s="35"/>
      <c r="D151" s="191" t="s">
        <v>2045</v>
      </c>
      <c r="E151" s="193" t="s">
        <v>2046</v>
      </c>
      <c r="F151" s="192"/>
      <c r="G151" s="32" t="s">
        <v>18</v>
      </c>
      <c r="H151" s="124">
        <v>1.95</v>
      </c>
    </row>
    <row r="152" spans="1:8">
      <c r="A152" s="34"/>
      <c r="B152" s="35"/>
      <c r="C152" s="35"/>
      <c r="D152" s="94"/>
      <c r="E152" s="65" t="s">
        <v>2047</v>
      </c>
      <c r="F152" s="90">
        <f>13*0.15</f>
        <v>1.95</v>
      </c>
      <c r="G152" s="40"/>
      <c r="H152" s="64"/>
    </row>
    <row r="153" spans="1:8">
      <c r="A153" s="34"/>
      <c r="B153" s="35"/>
      <c r="C153" s="35"/>
      <c r="D153" s="94"/>
      <c r="E153" s="50"/>
      <c r="F153" s="92"/>
      <c r="G153" s="40"/>
      <c r="H153" s="64"/>
    </row>
    <row r="154" spans="1:8" ht="25.5">
      <c r="A154" s="34">
        <f>MAX(A$1:A153)+1</f>
        <v>17</v>
      </c>
      <c r="B154" s="73"/>
      <c r="C154" s="36" t="s">
        <v>784</v>
      </c>
      <c r="D154" s="37"/>
      <c r="E154" s="38" t="s">
        <v>785</v>
      </c>
      <c r="F154" s="39"/>
      <c r="G154" s="40" t="s">
        <v>18</v>
      </c>
      <c r="H154" s="64">
        <v>0.67</v>
      </c>
    </row>
    <row r="155" spans="1:8" ht="25.5">
      <c r="A155" s="34"/>
      <c r="B155" s="73"/>
      <c r="C155" s="36"/>
      <c r="D155" s="191" t="s">
        <v>2048</v>
      </c>
      <c r="E155" s="193" t="s">
        <v>2049</v>
      </c>
      <c r="F155" s="192"/>
      <c r="G155" s="32" t="s">
        <v>18</v>
      </c>
      <c r="H155" s="124">
        <v>0.67</v>
      </c>
    </row>
    <row r="156" spans="1:8" ht="25.5">
      <c r="A156" s="34"/>
      <c r="B156" s="73"/>
      <c r="C156" s="36"/>
      <c r="D156" s="66"/>
      <c r="E156" s="77" t="s">
        <v>2050</v>
      </c>
      <c r="F156" s="81">
        <f>(0.33+0.41)*0.9</f>
        <v>0.66600000000000004</v>
      </c>
      <c r="G156" s="40"/>
      <c r="H156" s="64"/>
    </row>
    <row r="157" spans="1:8">
      <c r="A157" s="34"/>
      <c r="B157" s="73"/>
      <c r="C157" s="36"/>
      <c r="D157" s="66"/>
      <c r="E157" s="77"/>
      <c r="F157" s="81"/>
      <c r="G157" s="40"/>
      <c r="H157" s="64"/>
    </row>
    <row r="158" spans="1:8">
      <c r="A158" s="34">
        <f>MAX(A$1:A157)+1</f>
        <v>18</v>
      </c>
      <c r="B158" s="73"/>
      <c r="C158" s="36" t="s">
        <v>786</v>
      </c>
      <c r="D158" s="37"/>
      <c r="E158" s="38" t="s">
        <v>787</v>
      </c>
      <c r="F158" s="39"/>
      <c r="G158" s="40" t="s">
        <v>21</v>
      </c>
      <c r="H158" s="64">
        <v>2.86</v>
      </c>
    </row>
    <row r="159" spans="1:8" ht="25.5">
      <c r="A159" s="34"/>
      <c r="B159" s="73"/>
      <c r="C159" s="66"/>
      <c r="D159" s="67" t="s">
        <v>788</v>
      </c>
      <c r="E159" s="71" t="s">
        <v>789</v>
      </c>
      <c r="F159" s="61"/>
      <c r="G159" s="62" t="s">
        <v>21</v>
      </c>
      <c r="H159" s="124">
        <v>2.86</v>
      </c>
    </row>
    <row r="160" spans="1:8" ht="25.5">
      <c r="A160" s="34"/>
      <c r="B160" s="73"/>
      <c r="C160" s="36"/>
      <c r="D160" s="66"/>
      <c r="E160" s="77" t="s">
        <v>2051</v>
      </c>
      <c r="F160" s="81">
        <f>0.33*2+0.41*2+0.17*0.9*9</f>
        <v>2.8570000000000002</v>
      </c>
      <c r="G160" s="40"/>
      <c r="H160" s="64"/>
    </row>
    <row r="161" spans="1:8">
      <c r="A161" s="34"/>
      <c r="B161" s="73"/>
      <c r="C161" s="36"/>
      <c r="D161" s="66"/>
      <c r="E161" s="77"/>
      <c r="F161" s="81"/>
      <c r="G161" s="40"/>
      <c r="H161" s="64"/>
    </row>
    <row r="162" spans="1:8" ht="25.5">
      <c r="A162" s="34">
        <f>MAX(A$1:A161)+1</f>
        <v>19</v>
      </c>
      <c r="B162" s="73"/>
      <c r="C162" s="36" t="s">
        <v>790</v>
      </c>
      <c r="D162" s="37"/>
      <c r="E162" s="38" t="s">
        <v>791</v>
      </c>
      <c r="F162" s="39"/>
      <c r="G162" s="40" t="s">
        <v>15</v>
      </c>
      <c r="H162" s="64">
        <v>0.01</v>
      </c>
    </row>
    <row r="163" spans="1:8" ht="25.5">
      <c r="A163" s="34"/>
      <c r="B163" s="73"/>
      <c r="C163" s="36"/>
      <c r="D163" s="67" t="s">
        <v>792</v>
      </c>
      <c r="E163" s="71" t="s">
        <v>793</v>
      </c>
      <c r="F163" s="61"/>
      <c r="G163" s="62" t="s">
        <v>15</v>
      </c>
      <c r="H163" s="124">
        <v>0.01</v>
      </c>
    </row>
    <row r="164" spans="1:8" ht="38.25">
      <c r="A164" s="34"/>
      <c r="B164" s="73"/>
      <c r="C164" s="36"/>
      <c r="D164" s="66"/>
      <c r="E164" s="77" t="s">
        <v>2052</v>
      </c>
      <c r="F164" s="81">
        <f>2.32*5.4/1000</f>
        <v>1.2528000000000001E-2</v>
      </c>
      <c r="G164" s="40"/>
      <c r="H164" s="64"/>
    </row>
    <row r="165" spans="1:8">
      <c r="A165" s="34"/>
      <c r="B165" s="73"/>
      <c r="C165" s="36"/>
      <c r="D165" s="66"/>
      <c r="E165" s="77"/>
      <c r="F165" s="81"/>
      <c r="G165" s="40"/>
      <c r="H165" s="64"/>
    </row>
    <row r="166" spans="1:8">
      <c r="A166" s="169"/>
      <c r="B166" s="35" t="s">
        <v>103</v>
      </c>
      <c r="C166" s="35"/>
      <c r="D166" s="94"/>
      <c r="E166" s="50" t="s">
        <v>104</v>
      </c>
      <c r="F166" s="171"/>
      <c r="G166" s="29"/>
      <c r="H166" s="30"/>
    </row>
    <row r="167" spans="1:8">
      <c r="A167" s="169"/>
      <c r="B167" s="35"/>
      <c r="C167" s="35"/>
      <c r="D167" s="94"/>
      <c r="E167" s="50"/>
      <c r="F167" s="171"/>
      <c r="G167" s="29"/>
      <c r="H167" s="30"/>
    </row>
    <row r="168" spans="1:8" ht="25.5">
      <c r="A168" s="34">
        <f>MAX(A$1:A167)+1</f>
        <v>20</v>
      </c>
      <c r="B168" s="35"/>
      <c r="C168" s="36" t="s">
        <v>105</v>
      </c>
      <c r="D168" s="37"/>
      <c r="E168" s="38" t="s">
        <v>106</v>
      </c>
      <c r="F168" s="39"/>
      <c r="G168" s="40" t="s">
        <v>33</v>
      </c>
      <c r="H168" s="64">
        <v>112</v>
      </c>
    </row>
    <row r="169" spans="1:8" ht="25.5">
      <c r="A169" s="169"/>
      <c r="B169" s="35"/>
      <c r="C169" s="35"/>
      <c r="D169" s="67" t="s">
        <v>107</v>
      </c>
      <c r="E169" s="71" t="s">
        <v>108</v>
      </c>
      <c r="F169" s="61"/>
      <c r="G169" s="62" t="s">
        <v>33</v>
      </c>
      <c r="H169" s="124">
        <v>112</v>
      </c>
    </row>
    <row r="170" spans="1:8" ht="38.25">
      <c r="A170" s="169"/>
      <c r="B170" s="35"/>
      <c r="C170" s="35"/>
      <c r="D170" s="67"/>
      <c r="E170" s="65" t="s">
        <v>2053</v>
      </c>
      <c r="F170" s="287"/>
      <c r="G170" s="62"/>
      <c r="H170" s="30"/>
    </row>
    <row r="171" spans="1:8">
      <c r="A171" s="169"/>
      <c r="B171" s="35"/>
      <c r="C171" s="35"/>
      <c r="D171" s="67"/>
      <c r="E171" s="935" t="s">
        <v>2054</v>
      </c>
      <c r="F171" s="287">
        <v>23</v>
      </c>
      <c r="G171" s="62"/>
      <c r="H171" s="30"/>
    </row>
    <row r="172" spans="1:8">
      <c r="A172" s="169"/>
      <c r="B172" s="35"/>
      <c r="C172" s="35"/>
      <c r="D172" s="67"/>
      <c r="E172" s="65" t="s">
        <v>2055</v>
      </c>
      <c r="F172" s="298">
        <v>6</v>
      </c>
      <c r="G172" s="62"/>
      <c r="H172" s="30"/>
    </row>
    <row r="173" spans="1:8">
      <c r="A173" s="169"/>
      <c r="B173" s="35"/>
      <c r="C173" s="35"/>
      <c r="D173" s="67"/>
      <c r="E173" s="65"/>
      <c r="F173" s="287">
        <f>SUM(F171:F172)</f>
        <v>29</v>
      </c>
      <c r="G173" s="62"/>
      <c r="H173" s="30"/>
    </row>
    <row r="174" spans="1:8">
      <c r="A174" s="169"/>
      <c r="B174" s="35"/>
      <c r="C174" s="35"/>
      <c r="D174" s="67"/>
      <c r="E174" s="65"/>
      <c r="F174" s="287"/>
      <c r="G174" s="62"/>
      <c r="H174" s="30"/>
    </row>
    <row r="175" spans="1:8" ht="38.25">
      <c r="A175" s="169"/>
      <c r="B175" s="35"/>
      <c r="C175" s="35"/>
      <c r="D175" s="94"/>
      <c r="E175" s="65" t="s">
        <v>2056</v>
      </c>
      <c r="F175" s="287">
        <v>8</v>
      </c>
      <c r="G175" s="29"/>
      <c r="H175" s="30"/>
    </row>
    <row r="176" spans="1:8">
      <c r="A176" s="169"/>
      <c r="B176" s="35"/>
      <c r="C176" s="35"/>
      <c r="D176" s="94"/>
      <c r="E176" s="65"/>
      <c r="F176" s="287"/>
      <c r="G176" s="29"/>
      <c r="H176" s="30"/>
    </row>
    <row r="177" spans="1:8" ht="38.25">
      <c r="A177" s="169"/>
      <c r="B177" s="35"/>
      <c r="C177" s="35"/>
      <c r="D177" s="94"/>
      <c r="E177" s="65" t="s">
        <v>2057</v>
      </c>
      <c r="F177" s="287"/>
      <c r="G177" s="29"/>
      <c r="H177" s="30"/>
    </row>
    <row r="178" spans="1:8">
      <c r="A178" s="169"/>
      <c r="B178" s="35"/>
      <c r="C178" s="35"/>
      <c r="D178" s="94"/>
      <c r="E178" s="935" t="s">
        <v>2054</v>
      </c>
      <c r="F178" s="287">
        <v>16</v>
      </c>
      <c r="G178" s="29"/>
      <c r="H178" s="30"/>
    </row>
    <row r="179" spans="1:8">
      <c r="A179" s="169"/>
      <c r="B179" s="35"/>
      <c r="C179" s="35"/>
      <c r="D179" s="94"/>
      <c r="E179" s="65" t="s">
        <v>2055</v>
      </c>
      <c r="F179" s="298">
        <v>8</v>
      </c>
      <c r="G179" s="29"/>
      <c r="H179" s="30"/>
    </row>
    <row r="180" spans="1:8">
      <c r="A180" s="169"/>
      <c r="B180" s="35"/>
      <c r="C180" s="35"/>
      <c r="D180" s="94"/>
      <c r="E180" s="65"/>
      <c r="F180" s="287">
        <f>SUM(F178:F179)</f>
        <v>24</v>
      </c>
      <c r="G180" s="29"/>
      <c r="H180" s="30"/>
    </row>
    <row r="181" spans="1:8">
      <c r="A181" s="169"/>
      <c r="B181" s="35"/>
      <c r="C181" s="35"/>
      <c r="D181" s="94"/>
      <c r="E181" s="65"/>
      <c r="F181" s="287"/>
      <c r="G181" s="29"/>
      <c r="H181" s="30"/>
    </row>
    <row r="182" spans="1:8" ht="38.25">
      <c r="A182" s="169"/>
      <c r="B182" s="35"/>
      <c r="C182" s="35"/>
      <c r="D182" s="94"/>
      <c r="E182" s="65" t="s">
        <v>2058</v>
      </c>
      <c r="F182" s="287"/>
      <c r="G182" s="29"/>
      <c r="H182" s="30"/>
    </row>
    <row r="183" spans="1:8">
      <c r="A183" s="169"/>
      <c r="B183" s="35"/>
      <c r="C183" s="35"/>
      <c r="D183" s="94"/>
      <c r="E183" s="935" t="s">
        <v>2054</v>
      </c>
      <c r="F183" s="287">
        <v>40</v>
      </c>
      <c r="G183" s="29"/>
      <c r="H183" s="30"/>
    </row>
    <row r="184" spans="1:8">
      <c r="A184" s="169"/>
      <c r="B184" s="35"/>
      <c r="C184" s="35"/>
      <c r="D184" s="94"/>
      <c r="E184" s="65" t="s">
        <v>2055</v>
      </c>
      <c r="F184" s="298">
        <v>11</v>
      </c>
      <c r="G184" s="29"/>
      <c r="H184" s="30"/>
    </row>
    <row r="185" spans="1:8">
      <c r="A185" s="169"/>
      <c r="B185" s="35"/>
      <c r="C185" s="35"/>
      <c r="D185" s="94"/>
      <c r="E185" s="65"/>
      <c r="F185" s="287">
        <f>SUM(F183:F184)</f>
        <v>51</v>
      </c>
      <c r="G185" s="29"/>
      <c r="H185" s="30"/>
    </row>
    <row r="186" spans="1:8">
      <c r="A186" s="169"/>
      <c r="B186" s="35"/>
      <c r="C186" s="35"/>
      <c r="D186" s="94"/>
      <c r="E186" s="91" t="s">
        <v>41</v>
      </c>
      <c r="F186" s="310">
        <f>F173+F175+F180+F185</f>
        <v>112</v>
      </c>
      <c r="G186" s="29"/>
      <c r="H186" s="30"/>
    </row>
    <row r="187" spans="1:8">
      <c r="A187" s="169"/>
      <c r="B187" s="35"/>
      <c r="C187" s="35"/>
      <c r="D187" s="94"/>
      <c r="E187" s="65"/>
      <c r="F187" s="287"/>
      <c r="G187" s="29"/>
      <c r="H187" s="30"/>
    </row>
    <row r="188" spans="1:8">
      <c r="A188" s="34">
        <f>MAX(A$1:A187)+1</f>
        <v>21</v>
      </c>
      <c r="B188" s="35"/>
      <c r="C188" s="36" t="s">
        <v>109</v>
      </c>
      <c r="D188" s="37"/>
      <c r="E188" s="38" t="s">
        <v>110</v>
      </c>
      <c r="F188" s="39"/>
      <c r="G188" s="40" t="s">
        <v>21</v>
      </c>
      <c r="H188" s="64">
        <v>321.52</v>
      </c>
    </row>
    <row r="189" spans="1:8" ht="25.5">
      <c r="A189" s="169"/>
      <c r="B189" s="35"/>
      <c r="C189" s="66"/>
      <c r="D189" s="67" t="s">
        <v>111</v>
      </c>
      <c r="E189" s="71" t="s">
        <v>112</v>
      </c>
      <c r="F189" s="61"/>
      <c r="G189" s="62" t="s">
        <v>21</v>
      </c>
      <c r="H189" s="124">
        <v>321.52</v>
      </c>
    </row>
    <row r="190" spans="1:8" ht="38.25">
      <c r="A190" s="169"/>
      <c r="B190" s="35"/>
      <c r="C190" s="66"/>
      <c r="D190" s="67"/>
      <c r="E190" s="65" t="s">
        <v>2059</v>
      </c>
      <c r="F190" s="287">
        <f>58*1.7</f>
        <v>98.6</v>
      </c>
      <c r="G190" s="62"/>
      <c r="H190" s="30"/>
    </row>
    <row r="191" spans="1:8">
      <c r="A191" s="169"/>
      <c r="B191" s="35"/>
      <c r="C191" s="66"/>
      <c r="D191" s="67"/>
      <c r="E191" s="71"/>
      <c r="F191" s="61"/>
      <c r="G191" s="62"/>
      <c r="H191" s="30"/>
    </row>
    <row r="192" spans="1:8" ht="38.25">
      <c r="A192" s="169"/>
      <c r="B192" s="35"/>
      <c r="C192" s="35"/>
      <c r="D192" s="94"/>
      <c r="E192" s="65" t="s">
        <v>2060</v>
      </c>
      <c r="F192" s="287">
        <f>1.5*16.2+2.1*11.2</f>
        <v>47.819999999999993</v>
      </c>
      <c r="G192" s="29"/>
      <c r="H192" s="30"/>
    </row>
    <row r="193" spans="1:17">
      <c r="A193" s="169"/>
      <c r="B193" s="35"/>
      <c r="C193" s="35"/>
      <c r="D193" s="94"/>
      <c r="E193" s="65"/>
      <c r="F193" s="287"/>
      <c r="G193" s="29"/>
      <c r="H193" s="30"/>
    </row>
    <row r="194" spans="1:17" ht="38.25">
      <c r="A194" s="169"/>
      <c r="B194" s="35"/>
      <c r="C194" s="35"/>
      <c r="D194" s="94"/>
      <c r="E194" s="65" t="s">
        <v>2061</v>
      </c>
      <c r="F194" s="287">
        <f>103*1.7</f>
        <v>175.1</v>
      </c>
      <c r="G194" s="29"/>
      <c r="H194" s="30"/>
    </row>
    <row r="195" spans="1:17">
      <c r="A195" s="169"/>
      <c r="B195" s="35"/>
      <c r="C195" s="35"/>
      <c r="D195" s="94"/>
      <c r="E195" s="91" t="s">
        <v>41</v>
      </c>
      <c r="F195" s="310">
        <f>F190+F192+F194</f>
        <v>321.52</v>
      </c>
      <c r="G195" s="29"/>
      <c r="H195" s="30"/>
    </row>
    <row r="196" spans="1:17">
      <c r="A196" s="169"/>
      <c r="B196" s="35"/>
      <c r="C196" s="35"/>
      <c r="D196" s="94"/>
      <c r="E196" s="65"/>
      <c r="F196" s="287"/>
      <c r="G196" s="29"/>
      <c r="H196" s="30"/>
    </row>
    <row r="197" spans="1:17">
      <c r="A197" s="34">
        <f>MAX(A$1:A196)+1</f>
        <v>22</v>
      </c>
      <c r="B197" s="73"/>
      <c r="C197" s="36" t="s">
        <v>422</v>
      </c>
      <c r="D197" s="37"/>
      <c r="E197" s="38" t="s">
        <v>423</v>
      </c>
      <c r="F197" s="39"/>
      <c r="G197" s="40" t="s">
        <v>21</v>
      </c>
      <c r="H197" s="64">
        <v>24.22</v>
      </c>
    </row>
    <row r="198" spans="1:17" ht="25.5">
      <c r="A198" s="169"/>
      <c r="B198" s="31"/>
      <c r="C198" s="66"/>
      <c r="D198" s="67" t="s">
        <v>424</v>
      </c>
      <c r="E198" s="71" t="s">
        <v>425</v>
      </c>
      <c r="F198" s="61"/>
      <c r="G198" s="62" t="s">
        <v>21</v>
      </c>
      <c r="H198" s="124">
        <v>24.22</v>
      </c>
    </row>
    <row r="199" spans="1:17" ht="38.25">
      <c r="A199" s="169"/>
      <c r="B199" s="31"/>
      <c r="C199" s="31"/>
      <c r="D199" s="32"/>
      <c r="E199" s="77" t="s">
        <v>2062</v>
      </c>
      <c r="F199" s="287">
        <f>14*1.73</f>
        <v>24.22</v>
      </c>
      <c r="G199" s="29"/>
      <c r="H199" s="30"/>
    </row>
    <row r="200" spans="1:17">
      <c r="A200" s="169"/>
      <c r="B200" s="31"/>
      <c r="C200" s="31"/>
      <c r="D200" s="32"/>
      <c r="E200" s="77"/>
      <c r="F200" s="172"/>
      <c r="G200" s="29"/>
      <c r="H200" s="30"/>
    </row>
    <row r="201" spans="1:17">
      <c r="A201" s="34">
        <f>MAX(A$1:A200)+1</f>
        <v>23</v>
      </c>
      <c r="B201" s="31"/>
      <c r="C201" s="36" t="s">
        <v>566</v>
      </c>
      <c r="D201" s="37"/>
      <c r="E201" s="38" t="s">
        <v>567</v>
      </c>
      <c r="F201" s="39"/>
      <c r="G201" s="40" t="s">
        <v>21</v>
      </c>
      <c r="H201" s="128">
        <v>3.9000000000000004</v>
      </c>
    </row>
    <row r="202" spans="1:17">
      <c r="A202" s="169"/>
      <c r="B202" s="31"/>
      <c r="C202" s="66"/>
      <c r="D202" s="67" t="s">
        <v>568</v>
      </c>
      <c r="E202" s="71" t="s">
        <v>569</v>
      </c>
      <c r="F202" s="61"/>
      <c r="G202" s="62" t="s">
        <v>21</v>
      </c>
      <c r="H202" s="124">
        <v>3.9000000000000004</v>
      </c>
    </row>
    <row r="203" spans="1:17" ht="51">
      <c r="A203" s="169"/>
      <c r="B203" s="31"/>
      <c r="C203" s="31"/>
      <c r="D203" s="32"/>
      <c r="E203" s="65" t="s">
        <v>2063</v>
      </c>
      <c r="F203" s="287">
        <f>1.3*1.5*2</f>
        <v>3.9000000000000004</v>
      </c>
      <c r="G203" s="29"/>
      <c r="H203" s="30"/>
    </row>
    <row r="204" spans="1:17">
      <c r="A204" s="169"/>
      <c r="B204" s="31"/>
      <c r="C204" s="31"/>
      <c r="D204" s="32"/>
      <c r="E204" s="77"/>
      <c r="F204" s="172"/>
      <c r="G204" s="29"/>
      <c r="H204" s="30"/>
    </row>
    <row r="205" spans="1:17">
      <c r="A205" s="169"/>
      <c r="B205" s="31"/>
      <c r="C205" s="31"/>
      <c r="D205" s="32"/>
      <c r="E205" s="77"/>
      <c r="F205" s="240"/>
      <c r="G205" s="29"/>
      <c r="H205" s="30"/>
    </row>
    <row r="206" spans="1:17">
      <c r="A206" s="179"/>
      <c r="B206" s="31"/>
      <c r="C206" s="31"/>
      <c r="D206" s="67"/>
      <c r="E206" s="65"/>
      <c r="F206" s="172"/>
      <c r="G206" s="62"/>
      <c r="H206" s="83"/>
    </row>
    <row r="207" spans="1:17" ht="15.75" thickBot="1">
      <c r="A207" s="200"/>
      <c r="B207" s="201"/>
      <c r="C207" s="202"/>
      <c r="D207" s="203"/>
      <c r="E207" s="204"/>
      <c r="F207" s="205"/>
      <c r="G207" s="206"/>
      <c r="H207" s="207"/>
    </row>
    <row r="208" spans="1:17">
      <c r="Q208" s="717"/>
    </row>
    <row r="211" spans="5:5" ht="25.5">
      <c r="E211" s="718"/>
    </row>
  </sheetData>
  <sheetProtection algorithmName="SHA-512" hashValue="pepN1NZyUF9YSJpiqC3hWv97wGuK2nt4le4x4tw4zPRt7/T3cNzvSdBubXKNecdbdofx6+cdND7bfOMP/zd1BA==" saltValue="tuAqGr10iKMAgzPtB7znM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F7C83-52B6-49E7-8BE4-8935A869855E}">
  <sheetPr codeName="Hárok13"/>
  <dimension ref="A1:Q115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2065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5.57</v>
      </c>
    </row>
    <row r="9" spans="1:12">
      <c r="A9" s="145"/>
      <c r="B9" s="31"/>
      <c r="C9" s="31"/>
      <c r="D9" s="32"/>
      <c r="E9" s="33"/>
      <c r="F9" s="81">
        <f>F25</f>
        <v>5.5735680000000007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0.49</v>
      </c>
    </row>
    <row r="12" spans="1:12">
      <c r="A12" s="145"/>
      <c r="B12" s="31"/>
      <c r="C12" s="31"/>
      <c r="D12" s="32"/>
      <c r="E12" s="33"/>
      <c r="F12" s="81">
        <f>F45</f>
        <v>0.49379999999999935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2.5299999999999998</v>
      </c>
    </row>
    <row r="17" spans="1:17">
      <c r="A17" s="145"/>
      <c r="B17" s="31"/>
      <c r="C17" s="31"/>
      <c r="D17" s="32"/>
      <c r="E17" s="77" t="s">
        <v>2066</v>
      </c>
      <c r="F17" s="81">
        <f xml:space="preserve"> 6.24*1.45*0.28</f>
        <v>2.5334400000000001</v>
      </c>
      <c r="G17" s="29"/>
      <c r="H17" s="30"/>
    </row>
    <row r="18" spans="1:17">
      <c r="A18" s="145"/>
      <c r="B18" s="31"/>
      <c r="C18" s="31"/>
      <c r="D18" s="32"/>
      <c r="E18" s="33"/>
      <c r="F18" s="81"/>
      <c r="G18" s="29"/>
      <c r="H18" s="30"/>
    </row>
    <row r="19" spans="1:17" ht="27.75" customHeight="1">
      <c r="A19" s="34">
        <f>MAX(A$1:A16)+1</f>
        <v>4</v>
      </c>
      <c r="B19" s="43"/>
      <c r="C19" s="36" t="s">
        <v>34</v>
      </c>
      <c r="D19" s="37"/>
      <c r="E19" s="38" t="s">
        <v>35</v>
      </c>
      <c r="F19" s="39"/>
      <c r="G19" s="40" t="s">
        <v>36</v>
      </c>
      <c r="H19" s="128">
        <v>6.12</v>
      </c>
    </row>
    <row r="20" spans="1:17">
      <c r="A20" s="145"/>
      <c r="B20" s="31"/>
      <c r="C20" s="31"/>
      <c r="D20" s="32"/>
      <c r="E20" s="77" t="s">
        <v>2067</v>
      </c>
      <c r="F20" s="81">
        <v>6.12</v>
      </c>
      <c r="G20" s="29"/>
      <c r="H20" s="30"/>
    </row>
    <row r="21" spans="1:17">
      <c r="A21" s="145"/>
      <c r="B21" s="31"/>
      <c r="C21" s="31"/>
      <c r="D21" s="32"/>
      <c r="E21" s="33"/>
      <c r="F21" s="81"/>
      <c r="G21" s="29"/>
      <c r="H21" s="30"/>
    </row>
    <row r="22" spans="1:17">
      <c r="A22" s="34">
        <f>MAX(A$1:A21)+1</f>
        <v>5</v>
      </c>
      <c r="B22" s="31"/>
      <c r="C22" s="36" t="s">
        <v>37</v>
      </c>
      <c r="D22" s="37"/>
      <c r="E22" s="38" t="s">
        <v>38</v>
      </c>
      <c r="F22" s="39"/>
      <c r="G22" s="40" t="s">
        <v>15</v>
      </c>
      <c r="H22" s="128">
        <v>5.82</v>
      </c>
      <c r="I22" s="710"/>
    </row>
    <row r="23" spans="1:17">
      <c r="A23" s="145"/>
      <c r="B23" s="31"/>
      <c r="C23" s="66"/>
      <c r="D23" s="67" t="s">
        <v>39</v>
      </c>
      <c r="E23" s="71" t="s">
        <v>40</v>
      </c>
      <c r="F23" s="61"/>
      <c r="G23" s="62" t="s">
        <v>15</v>
      </c>
      <c r="H23" s="124">
        <v>5.82</v>
      </c>
    </row>
    <row r="24" spans="1:17">
      <c r="A24" s="145"/>
      <c r="B24" s="31"/>
      <c r="C24" s="31"/>
      <c r="D24" s="32"/>
      <c r="E24" s="121" t="s">
        <v>71</v>
      </c>
      <c r="F24" s="81"/>
      <c r="G24" s="29"/>
      <c r="H24" s="30"/>
    </row>
    <row r="25" spans="1:17">
      <c r="A25" s="145"/>
      <c r="B25" s="31"/>
      <c r="C25" s="31"/>
      <c r="D25" s="32"/>
      <c r="E25" s="77" t="s">
        <v>2068</v>
      </c>
      <c r="F25" s="81">
        <f>F17*2.2</f>
        <v>5.5735680000000007</v>
      </c>
      <c r="G25" s="29"/>
      <c r="H25" s="30"/>
    </row>
    <row r="26" spans="1:17">
      <c r="A26" s="145"/>
      <c r="B26" s="31"/>
      <c r="C26" s="31"/>
      <c r="D26" s="32"/>
      <c r="E26" s="77"/>
      <c r="F26" s="81"/>
      <c r="G26" s="29"/>
      <c r="H26" s="30"/>
    </row>
    <row r="27" spans="1:17">
      <c r="A27" s="145"/>
      <c r="B27" s="31"/>
      <c r="C27" s="31"/>
      <c r="D27" s="32"/>
      <c r="E27" s="121" t="s">
        <v>142</v>
      </c>
      <c r="F27" s="81"/>
      <c r="G27" s="29"/>
      <c r="H27" s="30"/>
    </row>
    <row r="28" spans="1:17" ht="18.75" customHeight="1">
      <c r="A28" s="145"/>
      <c r="B28" s="31"/>
      <c r="C28" s="31"/>
      <c r="D28" s="32"/>
      <c r="E28" s="77" t="s">
        <v>2069</v>
      </c>
      <c r="F28" s="81">
        <f>F20*0.04</f>
        <v>0.24480000000000002</v>
      </c>
      <c r="G28" s="29"/>
      <c r="H28" s="30"/>
    </row>
    <row r="29" spans="1:17">
      <c r="A29" s="145"/>
      <c r="B29" s="31"/>
      <c r="C29" s="31"/>
      <c r="D29" s="32"/>
      <c r="E29" s="91" t="s">
        <v>41</v>
      </c>
      <c r="F29" s="151">
        <f>F25+F28</f>
        <v>5.8183680000000004</v>
      </c>
      <c r="G29" s="29"/>
      <c r="H29" s="30"/>
    </row>
    <row r="30" spans="1:17">
      <c r="A30" s="145"/>
      <c r="B30" s="31"/>
      <c r="C30" s="31"/>
      <c r="D30" s="32"/>
      <c r="E30" s="77"/>
      <c r="F30" s="81"/>
      <c r="G30" s="29"/>
      <c r="H30" s="30"/>
    </row>
    <row r="31" spans="1:17" s="98" customFormat="1">
      <c r="A31" s="95"/>
      <c r="B31" s="35" t="s">
        <v>54</v>
      </c>
      <c r="C31" s="93"/>
      <c r="D31" s="94"/>
      <c r="E31" s="50" t="s">
        <v>55</v>
      </c>
      <c r="F31" s="100"/>
      <c r="G31" s="101"/>
      <c r="H31" s="42"/>
      <c r="I31"/>
      <c r="J31"/>
      <c r="K31"/>
      <c r="L31"/>
      <c r="Q31"/>
    </row>
    <row r="32" spans="1:17">
      <c r="A32" s="34"/>
      <c r="B32" s="31"/>
      <c r="C32" s="31"/>
      <c r="D32" s="32"/>
      <c r="E32" s="33"/>
      <c r="F32" s="81"/>
      <c r="G32" s="29"/>
      <c r="H32" s="30"/>
    </row>
    <row r="33" spans="1:9">
      <c r="A33" s="34">
        <f>MAX(A$1:A32)+1</f>
        <v>6</v>
      </c>
      <c r="B33" s="43"/>
      <c r="C33" s="36" t="s">
        <v>74</v>
      </c>
      <c r="D33" s="37"/>
      <c r="E33" s="38" t="s">
        <v>75</v>
      </c>
      <c r="F33" s="39"/>
      <c r="G33" s="40" t="s">
        <v>18</v>
      </c>
      <c r="H33" s="64">
        <v>6.48</v>
      </c>
    </row>
    <row r="34" spans="1:9">
      <c r="A34" s="72"/>
      <c r="B34" s="73"/>
      <c r="C34" s="66"/>
      <c r="D34" s="67" t="s">
        <v>76</v>
      </c>
      <c r="E34" s="71" t="s">
        <v>77</v>
      </c>
      <c r="F34" s="61"/>
      <c r="G34" s="62" t="s">
        <v>18</v>
      </c>
      <c r="H34" s="83">
        <v>6.48</v>
      </c>
    </row>
    <row r="35" spans="1:9" ht="25.5">
      <c r="A35" s="34"/>
      <c r="B35" s="31"/>
      <c r="C35" s="31"/>
      <c r="D35" s="32"/>
      <c r="E35" s="154" t="s">
        <v>2070</v>
      </c>
      <c r="F35" s="81">
        <f>((2.46  + 1.98 ) * 1.22 ) + 1.8  * 0.59</f>
        <v>6.4787999999999997</v>
      </c>
      <c r="G35" s="29"/>
      <c r="H35" s="30"/>
    </row>
    <row r="36" spans="1:9">
      <c r="A36" s="34"/>
      <c r="B36" s="31"/>
      <c r="C36" s="31"/>
      <c r="D36" s="32"/>
      <c r="E36" s="155"/>
      <c r="F36" s="81"/>
      <c r="G36" s="29"/>
      <c r="H36" s="30"/>
    </row>
    <row r="37" spans="1:9">
      <c r="A37" s="34">
        <f>MAX(A$1:A36)+1</f>
        <v>7</v>
      </c>
      <c r="B37" s="43"/>
      <c r="C37" s="36" t="s">
        <v>78</v>
      </c>
      <c r="D37" s="37"/>
      <c r="E37" s="38" t="s">
        <v>79</v>
      </c>
      <c r="F37" s="39"/>
      <c r="G37" s="40" t="s">
        <v>18</v>
      </c>
      <c r="H37" s="64">
        <v>5.99</v>
      </c>
      <c r="I37" s="710"/>
    </row>
    <row r="38" spans="1:9">
      <c r="A38" s="72"/>
      <c r="B38" s="73"/>
      <c r="C38" s="66"/>
      <c r="D38" s="67" t="s">
        <v>80</v>
      </c>
      <c r="E38" s="71" t="s">
        <v>81</v>
      </c>
      <c r="F38" s="61"/>
      <c r="G38" s="62" t="s">
        <v>18</v>
      </c>
      <c r="H38" s="83">
        <v>5.99</v>
      </c>
    </row>
    <row r="39" spans="1:9" ht="25.5">
      <c r="A39" s="34"/>
      <c r="B39" s="31"/>
      <c r="C39" s="31"/>
      <c r="D39" s="32"/>
      <c r="E39" s="158" t="s">
        <v>2071</v>
      </c>
      <c r="F39" s="159">
        <f>6.48-(0.4*0.6*1.8)-(0.05*0.7*1.8)</f>
        <v>5.9850000000000003</v>
      </c>
      <c r="G39" s="29"/>
      <c r="H39" s="30"/>
    </row>
    <row r="40" spans="1:9">
      <c r="A40" s="34"/>
      <c r="B40" s="31"/>
      <c r="C40" s="31"/>
      <c r="D40" s="32"/>
      <c r="E40" s="158"/>
      <c r="F40" s="711"/>
      <c r="G40" s="29"/>
      <c r="H40" s="30"/>
    </row>
    <row r="41" spans="1:9">
      <c r="A41" s="34"/>
      <c r="B41" s="35" t="s">
        <v>56</v>
      </c>
      <c r="C41" s="93"/>
      <c r="D41" s="94"/>
      <c r="E41" s="96" t="s">
        <v>57</v>
      </c>
      <c r="F41" s="160"/>
      <c r="G41" s="29"/>
      <c r="H41" s="30"/>
    </row>
    <row r="42" spans="1:9">
      <c r="A42" s="34"/>
      <c r="B42" s="31"/>
      <c r="C42" s="31"/>
      <c r="D42" s="32"/>
      <c r="E42" s="492"/>
      <c r="F42" s="148"/>
      <c r="G42" s="29"/>
      <c r="H42" s="30"/>
    </row>
    <row r="43" spans="1:9">
      <c r="A43" s="34">
        <f>MAX(A$1:A42)+1</f>
        <v>8</v>
      </c>
      <c r="B43" s="31"/>
      <c r="C43" s="36" t="s">
        <v>58</v>
      </c>
      <c r="D43" s="37"/>
      <c r="E43" s="38" t="s">
        <v>59</v>
      </c>
      <c r="F43" s="39"/>
      <c r="G43" s="40" t="s">
        <v>18</v>
      </c>
      <c r="H43" s="64">
        <v>0.49</v>
      </c>
    </row>
    <row r="44" spans="1:9">
      <c r="A44" s="34"/>
      <c r="B44" s="31"/>
      <c r="C44" s="66"/>
      <c r="D44" s="67" t="s">
        <v>60</v>
      </c>
      <c r="E44" s="71" t="s">
        <v>61</v>
      </c>
      <c r="F44" s="61"/>
      <c r="G44" s="62" t="s">
        <v>18</v>
      </c>
      <c r="H44" s="83">
        <v>0.49</v>
      </c>
    </row>
    <row r="45" spans="1:9">
      <c r="A45" s="34"/>
      <c r="B45" s="31"/>
      <c r="C45" s="31"/>
      <c r="D45" s="32"/>
      <c r="E45" s="157" t="s">
        <v>1212</v>
      </c>
      <c r="F45" s="81">
        <f>F56</f>
        <v>0.49379999999999935</v>
      </c>
      <c r="G45" s="29"/>
      <c r="H45" s="30"/>
    </row>
    <row r="46" spans="1:9">
      <c r="A46" s="34"/>
      <c r="B46" s="31"/>
      <c r="C46" s="31"/>
      <c r="D46" s="32"/>
      <c r="E46" s="77"/>
      <c r="F46" s="148"/>
      <c r="G46" s="29"/>
      <c r="H46" s="30"/>
    </row>
    <row r="47" spans="1:9">
      <c r="A47" s="34">
        <f>MAX(A$1:A46)+1</f>
        <v>9</v>
      </c>
      <c r="B47" s="43"/>
      <c r="C47" s="36" t="s">
        <v>175</v>
      </c>
      <c r="D47" s="37"/>
      <c r="E47" s="38" t="s">
        <v>775</v>
      </c>
      <c r="F47" s="39"/>
      <c r="G47" s="40" t="s">
        <v>18</v>
      </c>
      <c r="H47" s="64">
        <v>11.97</v>
      </c>
    </row>
    <row r="48" spans="1:9" ht="25.5">
      <c r="A48" s="72"/>
      <c r="B48" s="73"/>
      <c r="C48" s="66"/>
      <c r="D48" s="67" t="s">
        <v>177</v>
      </c>
      <c r="E48" s="71" t="s">
        <v>178</v>
      </c>
      <c r="F48" s="61"/>
      <c r="G48" s="62" t="s">
        <v>18</v>
      </c>
      <c r="H48" s="83">
        <v>11.97</v>
      </c>
    </row>
    <row r="49" spans="1:8">
      <c r="A49" s="34"/>
      <c r="B49" s="31"/>
      <c r="C49" s="66"/>
      <c r="D49" s="67"/>
      <c r="E49" s="65" t="s">
        <v>179</v>
      </c>
      <c r="F49" s="46">
        <f>F39*2</f>
        <v>11.97</v>
      </c>
      <c r="G49" s="62"/>
      <c r="H49" s="30"/>
    </row>
    <row r="50" spans="1:8">
      <c r="A50" s="34"/>
      <c r="B50" s="31"/>
      <c r="C50" s="66"/>
      <c r="D50" s="67"/>
      <c r="E50" s="71"/>
      <c r="F50" s="61"/>
      <c r="G50" s="62"/>
      <c r="H50" s="30"/>
    </row>
    <row r="51" spans="1:8">
      <c r="A51" s="34">
        <f>MAX(A$1:A50)+1</f>
        <v>10</v>
      </c>
      <c r="B51" s="43"/>
      <c r="C51" s="36" t="s">
        <v>50</v>
      </c>
      <c r="D51" s="37"/>
      <c r="E51" s="38" t="s">
        <v>51</v>
      </c>
      <c r="F51" s="39"/>
      <c r="G51" s="40" t="s">
        <v>18</v>
      </c>
      <c r="H51" s="64">
        <v>0.49</v>
      </c>
    </row>
    <row r="52" spans="1:8" ht="25.5">
      <c r="A52" s="72"/>
      <c r="B52" s="73"/>
      <c r="C52" s="66"/>
      <c r="D52" s="67" t="s">
        <v>138</v>
      </c>
      <c r="E52" s="71" t="s">
        <v>139</v>
      </c>
      <c r="F52" s="61"/>
      <c r="G52" s="62" t="s">
        <v>18</v>
      </c>
      <c r="H52" s="83">
        <v>0.49</v>
      </c>
    </row>
    <row r="53" spans="1:8">
      <c r="A53" s="34"/>
      <c r="B53" s="31"/>
      <c r="C53" s="31"/>
      <c r="D53" s="32"/>
      <c r="E53" s="712" t="s">
        <v>1216</v>
      </c>
      <c r="F53" s="163"/>
      <c r="G53" s="29"/>
      <c r="H53" s="30"/>
    </row>
    <row r="54" spans="1:8">
      <c r="A54" s="34"/>
      <c r="B54" s="31"/>
      <c r="C54" s="31"/>
      <c r="D54" s="32"/>
      <c r="E54" s="161" t="s">
        <v>66</v>
      </c>
      <c r="F54" s="163">
        <f>F35</f>
        <v>6.4787999999999997</v>
      </c>
      <c r="G54" s="29"/>
      <c r="H54" s="30"/>
    </row>
    <row r="55" spans="1:8">
      <c r="A55" s="34"/>
      <c r="B55" s="31"/>
      <c r="C55" s="31"/>
      <c r="D55" s="32"/>
      <c r="E55" s="161" t="s">
        <v>82</v>
      </c>
      <c r="F55" s="162">
        <f>-F39</f>
        <v>-5.9850000000000003</v>
      </c>
      <c r="G55" s="29"/>
      <c r="H55" s="30"/>
    </row>
    <row r="56" spans="1:8">
      <c r="A56" s="34"/>
      <c r="B56" s="31"/>
      <c r="C56" s="31"/>
      <c r="D56" s="32"/>
      <c r="E56" s="161"/>
      <c r="F56" s="163">
        <f>SUM(F54:F55)</f>
        <v>0.49379999999999935</v>
      </c>
      <c r="G56" s="29"/>
      <c r="H56" s="30"/>
    </row>
    <row r="57" spans="1:8">
      <c r="A57" s="34"/>
      <c r="B57" s="31"/>
      <c r="C57" s="31"/>
      <c r="D57" s="32"/>
      <c r="E57" s="164"/>
      <c r="F57" s="163"/>
      <c r="G57" s="29"/>
      <c r="H57" s="30"/>
    </row>
    <row r="58" spans="1:8">
      <c r="A58" s="34">
        <f>MAX(A$1:A57)+1</f>
        <v>11</v>
      </c>
      <c r="B58" s="31"/>
      <c r="C58" s="36" t="s">
        <v>83</v>
      </c>
      <c r="D58" s="37"/>
      <c r="E58" s="38" t="s">
        <v>84</v>
      </c>
      <c r="F58" s="39"/>
      <c r="G58" s="40" t="s">
        <v>18</v>
      </c>
      <c r="H58" s="64">
        <v>5.99</v>
      </c>
    </row>
    <row r="59" spans="1:8" ht="25.5">
      <c r="A59" s="34"/>
      <c r="B59" s="31"/>
      <c r="C59" s="66"/>
      <c r="D59" s="67" t="s">
        <v>85</v>
      </c>
      <c r="E59" s="71" t="s">
        <v>86</v>
      </c>
      <c r="F59" s="61"/>
      <c r="G59" s="62" t="s">
        <v>18</v>
      </c>
      <c r="H59" s="83">
        <v>5.99</v>
      </c>
    </row>
    <row r="60" spans="1:8">
      <c r="A60" s="34"/>
      <c r="B60" s="31"/>
      <c r="C60" s="31"/>
      <c r="D60" s="32"/>
      <c r="E60" s="161" t="s">
        <v>181</v>
      </c>
      <c r="F60" s="163">
        <f>F39</f>
        <v>5.9850000000000003</v>
      </c>
      <c r="G60" s="29"/>
      <c r="H60" s="30"/>
    </row>
    <row r="61" spans="1:8">
      <c r="A61" s="34"/>
      <c r="B61" s="31"/>
      <c r="C61" s="31"/>
      <c r="D61" s="32"/>
      <c r="E61" s="161"/>
      <c r="F61" s="163"/>
      <c r="G61" s="29"/>
      <c r="H61" s="30"/>
    </row>
    <row r="62" spans="1:8">
      <c r="A62" s="34"/>
      <c r="B62" s="35" t="s">
        <v>404</v>
      </c>
      <c r="C62" s="35"/>
      <c r="D62" s="94"/>
      <c r="E62" s="50" t="s">
        <v>405</v>
      </c>
      <c r="F62" s="163"/>
      <c r="G62" s="29"/>
      <c r="H62" s="30"/>
    </row>
    <row r="63" spans="1:8">
      <c r="A63" s="34"/>
      <c r="B63" s="35"/>
      <c r="C63" s="35"/>
      <c r="D63" s="94"/>
      <c r="E63" s="50"/>
      <c r="F63" s="163"/>
      <c r="G63" s="29"/>
      <c r="H63" s="30"/>
    </row>
    <row r="64" spans="1:8" ht="25.5">
      <c r="A64" s="34">
        <f>MAX(A$1:A63)+1</f>
        <v>12</v>
      </c>
      <c r="B64" s="35"/>
      <c r="C64" s="36" t="s">
        <v>570</v>
      </c>
      <c r="D64" s="37"/>
      <c r="E64" s="38" t="s">
        <v>571</v>
      </c>
      <c r="F64" s="39"/>
      <c r="G64" s="40" t="s">
        <v>21</v>
      </c>
      <c r="H64" s="128">
        <v>0.71</v>
      </c>
    </row>
    <row r="65" spans="1:9" ht="25.5">
      <c r="A65" s="34"/>
      <c r="B65" s="35"/>
      <c r="C65" s="35"/>
      <c r="D65" s="67" t="s">
        <v>572</v>
      </c>
      <c r="E65" s="71" t="s">
        <v>573</v>
      </c>
      <c r="F65" s="61"/>
      <c r="G65" s="62" t="s">
        <v>21</v>
      </c>
      <c r="H65" s="124">
        <v>0.71</v>
      </c>
    </row>
    <row r="66" spans="1:9">
      <c r="A66" s="34"/>
      <c r="B66" s="35"/>
      <c r="C66" s="35"/>
      <c r="D66" s="67"/>
      <c r="E66" s="65" t="s">
        <v>2072</v>
      </c>
      <c r="F66" s="46">
        <f>1.45*2*0.245</f>
        <v>0.71050000000000002</v>
      </c>
      <c r="G66" s="62"/>
      <c r="H66" s="30"/>
    </row>
    <row r="67" spans="1:9">
      <c r="A67" s="34"/>
      <c r="B67" s="31"/>
      <c r="C67" s="31"/>
      <c r="D67" s="32"/>
      <c r="E67" s="161"/>
      <c r="F67" s="163"/>
      <c r="G67" s="29"/>
      <c r="H67" s="30"/>
    </row>
    <row r="68" spans="1:9" ht="25.5">
      <c r="A68" s="34">
        <f>MAX(A$1:A67)+1</f>
        <v>13</v>
      </c>
      <c r="B68" s="31"/>
      <c r="C68" s="36" t="s">
        <v>574</v>
      </c>
      <c r="D68" s="37"/>
      <c r="E68" s="38" t="s">
        <v>575</v>
      </c>
      <c r="F68" s="39"/>
      <c r="G68" s="40" t="s">
        <v>36</v>
      </c>
      <c r="H68" s="128">
        <v>5.8</v>
      </c>
      <c r="I68" s="497"/>
    </row>
    <row r="69" spans="1:9" ht="25.5">
      <c r="A69" s="34"/>
      <c r="B69" s="31"/>
      <c r="C69" s="31"/>
      <c r="D69" s="67" t="s">
        <v>2073</v>
      </c>
      <c r="E69" s="71" t="s">
        <v>2074</v>
      </c>
      <c r="F69" s="61"/>
      <c r="G69" s="62" t="s">
        <v>36</v>
      </c>
      <c r="H69" s="124">
        <v>2.9</v>
      </c>
    </row>
    <row r="70" spans="1:9" ht="25.5">
      <c r="A70" s="34"/>
      <c r="B70" s="31"/>
      <c r="C70" s="31"/>
      <c r="D70" s="32"/>
      <c r="E70" s="161" t="s">
        <v>2075</v>
      </c>
      <c r="F70" s="163">
        <f>1.45*2</f>
        <v>2.9</v>
      </c>
      <c r="G70" s="29"/>
      <c r="H70" s="124"/>
    </row>
    <row r="71" spans="1:9" ht="25.5">
      <c r="A71" s="34"/>
      <c r="B71" s="31"/>
      <c r="C71" s="31"/>
      <c r="D71" s="67" t="s">
        <v>602</v>
      </c>
      <c r="E71" s="71" t="s">
        <v>603</v>
      </c>
      <c r="F71" s="61"/>
      <c r="G71" s="62" t="s">
        <v>36</v>
      </c>
      <c r="H71" s="124">
        <v>2.9</v>
      </c>
    </row>
    <row r="72" spans="1:9" ht="25.5">
      <c r="A72" s="34"/>
      <c r="B72" s="31"/>
      <c r="C72" s="31"/>
      <c r="D72" s="67"/>
      <c r="E72" s="65" t="s">
        <v>2076</v>
      </c>
      <c r="F72" s="46">
        <f>1.45*2</f>
        <v>2.9</v>
      </c>
      <c r="G72" s="62"/>
      <c r="H72" s="30"/>
    </row>
    <row r="73" spans="1:9">
      <c r="A73" s="34"/>
      <c r="B73" s="31"/>
      <c r="C73" s="31"/>
      <c r="D73" s="32"/>
      <c r="E73" s="154"/>
      <c r="F73" s="163"/>
      <c r="G73" s="29"/>
      <c r="H73" s="30"/>
    </row>
    <row r="74" spans="1:9">
      <c r="A74" s="34"/>
      <c r="B74" s="35" t="s">
        <v>408</v>
      </c>
      <c r="C74" s="35"/>
      <c r="D74" s="94"/>
      <c r="E74" s="50" t="s">
        <v>409</v>
      </c>
      <c r="F74" s="163"/>
      <c r="G74" s="29"/>
      <c r="H74" s="30"/>
    </row>
    <row r="75" spans="1:9">
      <c r="A75" s="34"/>
      <c r="B75" s="31"/>
      <c r="C75" s="31"/>
      <c r="D75" s="32"/>
      <c r="E75" s="713"/>
      <c r="F75" s="163"/>
      <c r="G75" s="29"/>
      <c r="H75" s="30"/>
    </row>
    <row r="76" spans="1:9" ht="25.5">
      <c r="A76" s="34">
        <f>MAX(A$1:A75)+1</f>
        <v>14</v>
      </c>
      <c r="B76" s="31"/>
      <c r="C76" s="36" t="s">
        <v>410</v>
      </c>
      <c r="D76" s="37"/>
      <c r="E76" s="38" t="s">
        <v>411</v>
      </c>
      <c r="F76" s="39"/>
      <c r="G76" s="40" t="s">
        <v>21</v>
      </c>
      <c r="H76" s="128">
        <v>13.68</v>
      </c>
      <c r="I76" s="710"/>
    </row>
    <row r="77" spans="1:9" ht="25.5">
      <c r="A77" s="34"/>
      <c r="B77" s="31"/>
      <c r="C77" s="66"/>
      <c r="D77" s="67" t="s">
        <v>412</v>
      </c>
      <c r="E77" s="71" t="s">
        <v>413</v>
      </c>
      <c r="F77" s="61"/>
      <c r="G77" s="62" t="s">
        <v>21</v>
      </c>
      <c r="H77" s="124">
        <v>1.42</v>
      </c>
    </row>
    <row r="78" spans="1:9">
      <c r="A78" s="34"/>
      <c r="B78" s="31"/>
      <c r="C78" s="31"/>
      <c r="D78" s="32"/>
      <c r="E78" s="712" t="s">
        <v>2077</v>
      </c>
      <c r="F78" s="163"/>
      <c r="G78" s="29"/>
      <c r="H78" s="30"/>
    </row>
    <row r="79" spans="1:9">
      <c r="A79" s="34"/>
      <c r="B79" s="31"/>
      <c r="C79" s="31"/>
      <c r="D79" s="32"/>
      <c r="E79" s="161" t="s">
        <v>2078</v>
      </c>
      <c r="F79" s="163">
        <f>(2.46  + 1.98 ) * 0.16  * 2</f>
        <v>1.4207999999999998</v>
      </c>
      <c r="G79" s="29"/>
      <c r="H79" s="30"/>
    </row>
    <row r="80" spans="1:9" ht="25.5">
      <c r="A80" s="34"/>
      <c r="B80" s="31"/>
      <c r="C80" s="31"/>
      <c r="D80" s="67" t="s">
        <v>414</v>
      </c>
      <c r="E80" s="71" t="s">
        <v>415</v>
      </c>
      <c r="F80" s="61"/>
      <c r="G80" s="62" t="s">
        <v>21</v>
      </c>
      <c r="H80" s="124">
        <v>12.26</v>
      </c>
    </row>
    <row r="81" spans="1:8">
      <c r="A81" s="34"/>
      <c r="B81" s="31"/>
      <c r="C81" s="31"/>
      <c r="D81" s="67"/>
      <c r="E81" s="712" t="s">
        <v>2077</v>
      </c>
      <c r="F81" s="61"/>
      <c r="G81" s="62"/>
      <c r="H81" s="30"/>
    </row>
    <row r="82" spans="1:8">
      <c r="A82" s="34"/>
      <c r="B82" s="31"/>
      <c r="C82" s="31"/>
      <c r="D82" s="32"/>
      <c r="E82" s="165" t="s">
        <v>2079</v>
      </c>
      <c r="F82" s="163">
        <f>(1.2+0.5)*6.24+0.4*0.2*(2.46+1.98)+0.4*0.6*2+1.45*0.28*2</f>
        <v>12.2552</v>
      </c>
      <c r="G82" s="29"/>
      <c r="H82" s="30"/>
    </row>
    <row r="83" spans="1:8">
      <c r="A83" s="34"/>
      <c r="B83" s="31"/>
      <c r="C83" s="31"/>
      <c r="D83" s="32"/>
      <c r="E83" s="157"/>
      <c r="F83" s="160"/>
      <c r="G83" s="29"/>
      <c r="H83" s="30"/>
    </row>
    <row r="84" spans="1:8">
      <c r="A84" s="34"/>
      <c r="B84" s="35" t="s">
        <v>416</v>
      </c>
      <c r="C84" s="35"/>
      <c r="D84" s="94"/>
      <c r="E84" s="50" t="s">
        <v>417</v>
      </c>
      <c r="F84" s="92"/>
      <c r="G84" s="40"/>
      <c r="H84" s="64"/>
    </row>
    <row r="85" spans="1:8">
      <c r="A85" s="34"/>
      <c r="B85" s="43"/>
      <c r="C85" s="36"/>
      <c r="D85" s="37"/>
      <c r="E85" s="38"/>
      <c r="F85" s="39"/>
      <c r="G85" s="40"/>
      <c r="H85" s="64"/>
    </row>
    <row r="86" spans="1:8">
      <c r="A86" s="34">
        <f>MAX(A$1:A85)+1</f>
        <v>15</v>
      </c>
      <c r="B86" s="43"/>
      <c r="C86" s="36" t="s">
        <v>761</v>
      </c>
      <c r="D86" s="37"/>
      <c r="E86" s="38" t="s">
        <v>762</v>
      </c>
      <c r="F86" s="39"/>
      <c r="G86" s="40" t="s">
        <v>18</v>
      </c>
      <c r="H86" s="64">
        <v>3.58</v>
      </c>
    </row>
    <row r="87" spans="1:8">
      <c r="A87" s="34"/>
      <c r="B87" s="31"/>
      <c r="C87" s="31"/>
      <c r="D87" s="191" t="s">
        <v>763</v>
      </c>
      <c r="E87" s="193" t="s">
        <v>764</v>
      </c>
      <c r="F87" s="192"/>
      <c r="G87" s="32" t="s">
        <v>18</v>
      </c>
      <c r="H87" s="83">
        <v>3.58</v>
      </c>
    </row>
    <row r="88" spans="1:8">
      <c r="A88" s="34"/>
      <c r="B88" s="31"/>
      <c r="C88" s="31"/>
      <c r="D88" s="32"/>
      <c r="E88" s="164" t="s">
        <v>2080</v>
      </c>
      <c r="F88" s="936">
        <f>(2.46  + 1.98 ) * 0.4  * 0.6</f>
        <v>1.0655999999999999</v>
      </c>
      <c r="G88" s="29"/>
      <c r="H88" s="30"/>
    </row>
    <row r="89" spans="1:8">
      <c r="A89" s="34"/>
      <c r="B89" s="31"/>
      <c r="C89" s="31"/>
      <c r="D89" s="32"/>
      <c r="E89" s="164" t="s">
        <v>2081</v>
      </c>
      <c r="F89" s="937">
        <f>6.2  * 0.28  * 1.45</f>
        <v>2.5172000000000003</v>
      </c>
      <c r="G89" s="29"/>
      <c r="H89" s="30"/>
    </row>
    <row r="90" spans="1:8">
      <c r="A90" s="34"/>
      <c r="B90" s="31"/>
      <c r="C90" s="31"/>
      <c r="D90" s="32"/>
      <c r="E90" s="164"/>
      <c r="F90" s="163">
        <f>SUM(F88:F89)</f>
        <v>3.5828000000000002</v>
      </c>
      <c r="G90" s="29"/>
      <c r="H90" s="30"/>
    </row>
    <row r="91" spans="1:8">
      <c r="A91" s="34"/>
      <c r="B91" s="43"/>
      <c r="C91" s="36"/>
      <c r="D91" s="37"/>
      <c r="E91" s="38"/>
      <c r="F91" s="39"/>
      <c r="G91" s="40"/>
      <c r="H91" s="64"/>
    </row>
    <row r="92" spans="1:8">
      <c r="A92" s="34">
        <f>MAX(A$1:A91)+1</f>
        <v>16</v>
      </c>
      <c r="B92" s="73"/>
      <c r="C92" s="36" t="s">
        <v>765</v>
      </c>
      <c r="D92" s="37"/>
      <c r="E92" s="38" t="s">
        <v>766</v>
      </c>
      <c r="F92" s="39"/>
      <c r="G92" s="40" t="s">
        <v>21</v>
      </c>
      <c r="H92" s="64">
        <v>22.13</v>
      </c>
    </row>
    <row r="93" spans="1:8">
      <c r="A93" s="34"/>
      <c r="B93" s="31"/>
      <c r="C93" s="66"/>
      <c r="D93" s="67" t="s">
        <v>767</v>
      </c>
      <c r="E93" s="71" t="s">
        <v>768</v>
      </c>
      <c r="F93" s="61"/>
      <c r="G93" s="62" t="s">
        <v>21</v>
      </c>
      <c r="H93" s="83">
        <v>22.13</v>
      </c>
    </row>
    <row r="94" spans="1:8">
      <c r="A94" s="34"/>
      <c r="B94" s="31"/>
      <c r="C94" s="31"/>
      <c r="D94" s="32"/>
      <c r="E94" s="77" t="s">
        <v>2082</v>
      </c>
      <c r="F94" s="936">
        <f>1.45*6.24*2+0.4*2*(2.46+1.98)+0.6*0.4*2</f>
        <v>22.128</v>
      </c>
      <c r="G94" s="29"/>
      <c r="H94" s="30"/>
    </row>
    <row r="95" spans="1:8">
      <c r="A95" s="34"/>
      <c r="B95" s="43"/>
      <c r="C95" s="36"/>
      <c r="D95" s="37"/>
      <c r="E95" s="38"/>
      <c r="F95" s="39"/>
      <c r="G95" s="40"/>
      <c r="H95" s="64"/>
    </row>
    <row r="96" spans="1:8">
      <c r="A96" s="34">
        <f>MAX(A$1:A95)+1</f>
        <v>17</v>
      </c>
      <c r="B96" s="73"/>
      <c r="C96" s="36" t="s">
        <v>769</v>
      </c>
      <c r="D96" s="37"/>
      <c r="E96" s="38" t="s">
        <v>770</v>
      </c>
      <c r="F96" s="39"/>
      <c r="G96" s="40" t="s">
        <v>15</v>
      </c>
      <c r="H96" s="64">
        <v>0.4</v>
      </c>
    </row>
    <row r="97" spans="1:17" s="98" customFormat="1">
      <c r="A97" s="95"/>
      <c r="B97" s="35"/>
      <c r="C97" s="93"/>
      <c r="D97" s="67" t="s">
        <v>771</v>
      </c>
      <c r="E97" s="71" t="s">
        <v>772</v>
      </c>
      <c r="F97" s="61"/>
      <c r="G97" s="62" t="s">
        <v>15</v>
      </c>
      <c r="H97" s="83">
        <v>0.4</v>
      </c>
      <c r="I97"/>
      <c r="J97"/>
      <c r="K97"/>
      <c r="L97"/>
      <c r="Q97"/>
    </row>
    <row r="98" spans="1:17">
      <c r="A98" s="34"/>
      <c r="B98" s="31"/>
      <c r="C98" s="31"/>
      <c r="D98" s="32"/>
      <c r="E98" s="77" t="s">
        <v>601</v>
      </c>
      <c r="F98" s="81"/>
      <c r="G98" s="29"/>
      <c r="H98" s="30"/>
    </row>
    <row r="99" spans="1:17">
      <c r="A99" s="34"/>
      <c r="B99" s="73"/>
      <c r="C99" s="36"/>
      <c r="D99" s="66"/>
      <c r="E99" s="77" t="s">
        <v>2083</v>
      </c>
      <c r="F99" s="81">
        <f>395/1000</f>
        <v>0.39500000000000002</v>
      </c>
      <c r="G99" s="40"/>
      <c r="H99" s="64"/>
    </row>
    <row r="100" spans="1:17">
      <c r="A100" s="72"/>
      <c r="B100" s="73"/>
      <c r="C100" s="37"/>
      <c r="D100" s="67"/>
      <c r="E100" s="77"/>
      <c r="F100" s="81"/>
      <c r="G100" s="62"/>
      <c r="H100" s="83"/>
    </row>
    <row r="101" spans="1:17" ht="25.5">
      <c r="A101" s="34">
        <f>MAX(A$1:A100)+1</f>
        <v>18</v>
      </c>
      <c r="B101" s="31"/>
      <c r="C101" s="36" t="s">
        <v>387</v>
      </c>
      <c r="D101" s="66"/>
      <c r="E101" s="38" t="s">
        <v>388</v>
      </c>
      <c r="F101" s="39"/>
      <c r="G101" s="40" t="s">
        <v>18</v>
      </c>
      <c r="H101" s="64">
        <v>0.16</v>
      </c>
    </row>
    <row r="102" spans="1:17" ht="25.5">
      <c r="A102" s="34"/>
      <c r="B102" s="73"/>
      <c r="C102" s="36"/>
      <c r="D102" s="191" t="s">
        <v>389</v>
      </c>
      <c r="E102" s="193" t="s">
        <v>390</v>
      </c>
      <c r="F102" s="192"/>
      <c r="G102" s="32" t="s">
        <v>18</v>
      </c>
      <c r="H102" s="83">
        <v>0.16</v>
      </c>
    </row>
    <row r="103" spans="1:17">
      <c r="A103" s="72"/>
      <c r="B103" s="73"/>
      <c r="C103" s="66"/>
      <c r="D103" s="67"/>
      <c r="E103" s="65" t="s">
        <v>2084</v>
      </c>
      <c r="F103" s="936">
        <f>((2.46+1.98)*0.7)*0.05</f>
        <v>0.15539999999999998</v>
      </c>
      <c r="G103" s="62"/>
      <c r="H103" s="83"/>
    </row>
    <row r="104" spans="1:17">
      <c r="A104" s="169"/>
      <c r="B104" s="31"/>
      <c r="C104" s="31"/>
      <c r="D104" s="32"/>
      <c r="E104" s="65"/>
      <c r="F104" s="170"/>
      <c r="G104" s="29"/>
      <c r="H104" s="30"/>
    </row>
    <row r="105" spans="1:17">
      <c r="A105" s="169"/>
      <c r="B105" s="35" t="s">
        <v>103</v>
      </c>
      <c r="C105" s="35"/>
      <c r="D105" s="94"/>
      <c r="E105" s="50" t="s">
        <v>104</v>
      </c>
      <c r="F105" s="171"/>
      <c r="G105" s="29"/>
      <c r="H105" s="30"/>
    </row>
    <row r="106" spans="1:17">
      <c r="A106" s="34"/>
      <c r="B106" s="43"/>
      <c r="C106" s="36"/>
      <c r="D106" s="37"/>
      <c r="E106" s="38"/>
      <c r="F106" s="39"/>
      <c r="G106" s="40"/>
      <c r="H106" s="64"/>
    </row>
    <row r="107" spans="1:17">
      <c r="A107" s="34">
        <f>MAX(A$1:A106)+1</f>
        <v>19</v>
      </c>
      <c r="B107" s="73"/>
      <c r="C107" s="36" t="s">
        <v>2085</v>
      </c>
      <c r="D107" s="37"/>
      <c r="E107" s="38" t="s">
        <v>2086</v>
      </c>
      <c r="F107" s="39"/>
      <c r="G107" s="40" t="s">
        <v>21</v>
      </c>
      <c r="H107" s="64">
        <v>12</v>
      </c>
    </row>
    <row r="108" spans="1:17">
      <c r="A108" s="169"/>
      <c r="B108" s="31"/>
      <c r="C108" s="31"/>
      <c r="D108" s="32"/>
      <c r="E108" s="77" t="s">
        <v>2087</v>
      </c>
      <c r="F108" s="172">
        <f>(1.6+0.4)*2*3</f>
        <v>12</v>
      </c>
      <c r="G108" s="29"/>
      <c r="H108" s="30"/>
    </row>
    <row r="109" spans="1:17">
      <c r="A109" s="169"/>
      <c r="B109" s="31"/>
      <c r="C109" s="31"/>
      <c r="D109" s="32"/>
      <c r="E109" s="77"/>
      <c r="F109" s="240"/>
      <c r="G109" s="29"/>
      <c r="H109" s="30"/>
    </row>
    <row r="110" spans="1:17">
      <c r="A110" s="179"/>
      <c r="B110" s="31"/>
      <c r="C110" s="31"/>
      <c r="D110" s="67"/>
      <c r="E110" s="65"/>
      <c r="F110" s="172"/>
      <c r="G110" s="62"/>
      <c r="H110" s="83"/>
    </row>
    <row r="111" spans="1:17" ht="15.75" thickBot="1">
      <c r="A111" s="200"/>
      <c r="B111" s="201"/>
      <c r="C111" s="202"/>
      <c r="D111" s="203"/>
      <c r="E111" s="204"/>
      <c r="F111" s="205"/>
      <c r="G111" s="206"/>
      <c r="H111" s="207"/>
    </row>
    <row r="112" spans="1:17">
      <c r="Q112" s="717"/>
    </row>
    <row r="115" spans="5:5" ht="25.5">
      <c r="E115" s="718"/>
    </row>
  </sheetData>
  <sheetProtection algorithmName="SHA-512" hashValue="l8lEQreAAjkwqfIBJovNGC/xz4UiBTnWZrpl4TEUwWqmIHCbzyhT8GBPPnJqNupk2GWF3F7pEyuGVEAsG65QNg==" saltValue="XO8PDpLzs2nwFSS3gNitH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EC8D6-CB64-489E-A750-C953E8CE9663}">
  <sheetPr codeName="Hárok14"/>
  <dimension ref="A1:I90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2090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941">
        <v>434.76</v>
      </c>
      <c r="I8" s="942"/>
    </row>
    <row r="9" spans="1:9">
      <c r="A9" s="34"/>
      <c r="B9" s="464"/>
      <c r="C9" s="36"/>
      <c r="D9" s="37"/>
      <c r="E9" s="38"/>
      <c r="F9" s="46">
        <f>F42</f>
        <v>434.75880000000001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154</v>
      </c>
      <c r="D13" s="37"/>
      <c r="E13" s="38" t="s">
        <v>155</v>
      </c>
      <c r="F13" s="39"/>
      <c r="G13" s="40" t="s">
        <v>18</v>
      </c>
      <c r="H13" s="540">
        <v>190.82</v>
      </c>
      <c r="I13" s="942"/>
    </row>
    <row r="14" spans="1:9">
      <c r="A14" s="350"/>
      <c r="B14" s="329"/>
      <c r="C14" s="66"/>
      <c r="D14" s="67" t="s">
        <v>156</v>
      </c>
      <c r="E14" s="71" t="s">
        <v>157</v>
      </c>
      <c r="F14" s="61"/>
      <c r="G14" s="62" t="s">
        <v>18</v>
      </c>
      <c r="H14" s="541">
        <v>190.82</v>
      </c>
      <c r="I14" s="942"/>
    </row>
    <row r="15" spans="1:9">
      <c r="A15" s="350"/>
      <c r="B15" s="329"/>
      <c r="C15" s="66"/>
      <c r="D15" s="67"/>
      <c r="E15" s="65" t="s">
        <v>2091</v>
      </c>
      <c r="F15" s="212">
        <f>34*(2*1.4*1)+4*(2*1.4*1.3)</f>
        <v>109.75999999999999</v>
      </c>
      <c r="G15" s="295"/>
      <c r="H15" s="541"/>
      <c r="I15" s="942"/>
    </row>
    <row r="16" spans="1:9">
      <c r="A16" s="350"/>
      <c r="B16" s="329"/>
      <c r="C16" s="66"/>
      <c r="D16" s="67"/>
      <c r="E16" s="65" t="s">
        <v>2092</v>
      </c>
      <c r="F16" s="212">
        <f>6*(2*1.7*1)+13*(2*1.7*1.3)</f>
        <v>77.86</v>
      </c>
      <c r="G16" s="295"/>
      <c r="H16" s="541"/>
      <c r="I16" s="942"/>
    </row>
    <row r="17" spans="1:9">
      <c r="A17" s="350"/>
      <c r="B17" s="329"/>
      <c r="C17" s="66"/>
      <c r="D17" s="67"/>
      <c r="E17" s="65" t="s">
        <v>2093</v>
      </c>
      <c r="F17" s="213">
        <f>1.6*1.6*1.25</f>
        <v>3.2000000000000006</v>
      </c>
      <c r="G17" s="295"/>
      <c r="H17" s="541"/>
      <c r="I17" s="942"/>
    </row>
    <row r="18" spans="1:9">
      <c r="A18" s="350"/>
      <c r="B18" s="329"/>
      <c r="C18" s="66"/>
      <c r="D18" s="67"/>
      <c r="E18" s="71"/>
      <c r="F18" s="212">
        <f>SUM(F15:F17)</f>
        <v>190.82</v>
      </c>
      <c r="G18" s="295"/>
      <c r="H18" s="541"/>
      <c r="I18" s="942"/>
    </row>
    <row r="19" spans="1:9">
      <c r="A19" s="350"/>
      <c r="B19" s="329"/>
      <c r="C19" s="66"/>
      <c r="D19" s="67"/>
      <c r="E19" s="71"/>
      <c r="F19" s="212"/>
      <c r="G19" s="295"/>
      <c r="H19" s="541"/>
      <c r="I19" s="942"/>
    </row>
    <row r="20" spans="1:9">
      <c r="A20" s="34">
        <f>MAX(A$1:A19)+1</f>
        <v>3</v>
      </c>
      <c r="B20" s="327"/>
      <c r="C20" s="36" t="s">
        <v>158</v>
      </c>
      <c r="D20" s="37"/>
      <c r="E20" s="38" t="s">
        <v>159</v>
      </c>
      <c r="F20" s="264"/>
      <c r="G20" s="286" t="s">
        <v>18</v>
      </c>
      <c r="H20" s="540">
        <v>1129.1399999999999</v>
      </c>
      <c r="I20" s="942"/>
    </row>
    <row r="21" spans="1:9">
      <c r="A21" s="320"/>
      <c r="B21" s="80"/>
      <c r="C21" s="66"/>
      <c r="D21" s="67" t="s">
        <v>160</v>
      </c>
      <c r="E21" s="71" t="s">
        <v>161</v>
      </c>
      <c r="F21" s="212"/>
      <c r="G21" s="295" t="s">
        <v>18</v>
      </c>
      <c r="H21" s="566">
        <v>1129.1399999999999</v>
      </c>
    </row>
    <row r="22" spans="1:9">
      <c r="A22" s="320"/>
      <c r="B22" s="80"/>
      <c r="C22" s="66"/>
      <c r="D22" s="67"/>
      <c r="E22" s="330" t="s">
        <v>2094</v>
      </c>
      <c r="F22" s="212">
        <f>310*0.6*0.85</f>
        <v>158.1</v>
      </c>
      <c r="G22" s="295"/>
      <c r="H22" s="542"/>
    </row>
    <row r="23" spans="1:9">
      <c r="A23" s="320"/>
      <c r="B23" s="80"/>
      <c r="C23" s="66"/>
      <c r="D23" s="67"/>
      <c r="E23" s="330" t="s">
        <v>2095</v>
      </c>
      <c r="F23" s="212">
        <f>2220*0.6*0.69+5.5*0.3*0.4</f>
        <v>919.7399999999999</v>
      </c>
      <c r="G23" s="295"/>
      <c r="H23" s="542"/>
    </row>
    <row r="24" spans="1:9">
      <c r="A24" s="320"/>
      <c r="B24" s="80"/>
      <c r="C24" s="66"/>
      <c r="D24" s="67"/>
      <c r="E24" s="330" t="s">
        <v>2096</v>
      </c>
      <c r="F24" s="213">
        <f>90*0.95*0.6</f>
        <v>51.3</v>
      </c>
      <c r="G24" s="295"/>
      <c r="H24" s="542"/>
    </row>
    <row r="25" spans="1:9">
      <c r="A25" s="320"/>
      <c r="B25" s="80"/>
      <c r="C25" s="66"/>
      <c r="D25" s="67"/>
      <c r="E25" s="330"/>
      <c r="F25" s="224">
        <f>SUM(F22:F24)</f>
        <v>1129.1399999999999</v>
      </c>
      <c r="G25" s="295"/>
      <c r="H25" s="542"/>
    </row>
    <row r="26" spans="1:9">
      <c r="A26" s="320"/>
      <c r="B26" s="80"/>
      <c r="C26" s="66"/>
      <c r="D26" s="67"/>
      <c r="E26" s="330"/>
      <c r="F26" s="212"/>
      <c r="G26" s="295"/>
      <c r="H26" s="542"/>
    </row>
    <row r="27" spans="1:9">
      <c r="A27" s="34">
        <f>MAX(A$1:A26)+1</f>
        <v>4</v>
      </c>
      <c r="B27" s="43"/>
      <c r="C27" s="36" t="s">
        <v>58</v>
      </c>
      <c r="D27" s="37"/>
      <c r="E27" s="38" t="s">
        <v>59</v>
      </c>
      <c r="F27" s="39"/>
      <c r="G27" s="40" t="s">
        <v>18</v>
      </c>
      <c r="H27" s="543">
        <v>434.76</v>
      </c>
    </row>
    <row r="28" spans="1:9">
      <c r="A28" s="72"/>
      <c r="B28" s="73"/>
      <c r="C28" s="66"/>
      <c r="D28" s="67" t="s">
        <v>60</v>
      </c>
      <c r="E28" s="71" t="s">
        <v>61</v>
      </c>
      <c r="F28" s="61"/>
      <c r="G28" s="62" t="s">
        <v>18</v>
      </c>
      <c r="H28" s="542">
        <v>434.76</v>
      </c>
    </row>
    <row r="29" spans="1:9">
      <c r="A29" s="320"/>
      <c r="B29" s="80"/>
      <c r="C29" s="66"/>
      <c r="D29" s="67"/>
      <c r="E29" s="330" t="s">
        <v>1212</v>
      </c>
      <c r="F29" s="212">
        <f>F42</f>
        <v>434.75880000000001</v>
      </c>
      <c r="G29" s="295"/>
      <c r="H29" s="542"/>
    </row>
    <row r="30" spans="1:9">
      <c r="A30" s="428"/>
      <c r="B30" s="335"/>
      <c r="C30" s="432"/>
      <c r="D30" s="433"/>
      <c r="E30" s="546"/>
      <c r="F30" s="547"/>
      <c r="G30" s="510"/>
      <c r="H30" s="545"/>
    </row>
    <row r="31" spans="1:9">
      <c r="A31" s="34">
        <f>MAX(A$1:A30)+1</f>
        <v>5</v>
      </c>
      <c r="B31" s="335"/>
      <c r="C31" s="435" t="s">
        <v>78</v>
      </c>
      <c r="D31" s="436"/>
      <c r="E31" s="437" t="s">
        <v>79</v>
      </c>
      <c r="F31" s="547"/>
      <c r="G31" s="511" t="s">
        <v>18</v>
      </c>
      <c r="H31" s="544">
        <v>885.2</v>
      </c>
    </row>
    <row r="32" spans="1:9">
      <c r="A32" s="334"/>
      <c r="B32" s="429"/>
      <c r="C32" s="430"/>
      <c r="D32" s="431" t="s">
        <v>80</v>
      </c>
      <c r="E32" s="305" t="s">
        <v>81</v>
      </c>
      <c r="F32" s="548"/>
      <c r="G32" s="512" t="s">
        <v>18</v>
      </c>
      <c r="H32" s="545">
        <v>885.2</v>
      </c>
    </row>
    <row r="33" spans="1:8">
      <c r="A33" s="438"/>
      <c r="B33" s="429"/>
      <c r="C33" s="430"/>
      <c r="D33" s="431"/>
      <c r="E33" s="549" t="s">
        <v>2097</v>
      </c>
      <c r="F33" s="547">
        <f>F18+F25-F42</f>
        <v>885.20119999999974</v>
      </c>
      <c r="G33" s="512"/>
      <c r="H33" s="535"/>
    </row>
    <row r="34" spans="1:8">
      <c r="A34" s="438"/>
      <c r="B34" s="429"/>
      <c r="C34" s="430"/>
      <c r="D34" s="431"/>
      <c r="E34" s="549" t="s">
        <v>2098</v>
      </c>
      <c r="F34" s="547"/>
      <c r="G34" s="512"/>
      <c r="H34" s="535"/>
    </row>
    <row r="35" spans="1:8">
      <c r="A35" s="438"/>
      <c r="B35" s="429"/>
      <c r="C35" s="430"/>
      <c r="D35" s="431"/>
      <c r="E35" s="549"/>
      <c r="F35" s="547"/>
      <c r="G35" s="512"/>
      <c r="H35" s="535"/>
    </row>
    <row r="36" spans="1:8">
      <c r="A36" s="34">
        <f>MAX(A$1:A35)+1</f>
        <v>6</v>
      </c>
      <c r="B36" s="429"/>
      <c r="C36" s="36" t="s">
        <v>62</v>
      </c>
      <c r="D36" s="37"/>
      <c r="E36" s="38" t="s">
        <v>180</v>
      </c>
      <c r="F36" s="39"/>
      <c r="G36" s="40" t="s">
        <v>18</v>
      </c>
      <c r="H36" s="944">
        <v>1770.4</v>
      </c>
    </row>
    <row r="37" spans="1:8" ht="25.5">
      <c r="A37" s="438"/>
      <c r="B37" s="429"/>
      <c r="C37" s="66"/>
      <c r="D37" s="67" t="s">
        <v>64</v>
      </c>
      <c r="E37" s="71" t="s">
        <v>89</v>
      </c>
      <c r="F37" s="61"/>
      <c r="G37" s="62" t="s">
        <v>18</v>
      </c>
      <c r="H37" s="945">
        <v>1770.4</v>
      </c>
    </row>
    <row r="38" spans="1:8">
      <c r="A38" s="438"/>
      <c r="B38" s="429"/>
      <c r="C38" s="430"/>
      <c r="D38" s="431"/>
      <c r="E38" s="549" t="s">
        <v>2099</v>
      </c>
      <c r="F38" s="547">
        <f>F33*2</f>
        <v>1770.4023999999995</v>
      </c>
      <c r="G38" s="512"/>
      <c r="H38" s="535"/>
    </row>
    <row r="39" spans="1:8">
      <c r="A39" s="438"/>
      <c r="B39" s="335"/>
      <c r="C39" s="432"/>
      <c r="D39" s="433"/>
      <c r="E39" s="549"/>
      <c r="F39" s="547"/>
      <c r="G39" s="510"/>
      <c r="H39" s="550"/>
    </row>
    <row r="40" spans="1:8">
      <c r="A40" s="34">
        <f>MAX(A$1:A39)+1</f>
        <v>7</v>
      </c>
      <c r="B40" s="440"/>
      <c r="C40" s="36" t="s">
        <v>50</v>
      </c>
      <c r="D40" s="37"/>
      <c r="E40" s="38" t="s">
        <v>51</v>
      </c>
      <c r="F40" s="39"/>
      <c r="G40" s="40" t="s">
        <v>18</v>
      </c>
      <c r="H40" s="544">
        <v>434.76</v>
      </c>
    </row>
    <row r="41" spans="1:8" ht="25.5">
      <c r="A41" s="334"/>
      <c r="B41" s="440"/>
      <c r="C41" s="66"/>
      <c r="D41" s="67" t="s">
        <v>138</v>
      </c>
      <c r="E41" s="71" t="s">
        <v>139</v>
      </c>
      <c r="F41" s="61"/>
      <c r="G41" s="62" t="s">
        <v>18</v>
      </c>
      <c r="H41" s="545">
        <v>434.76</v>
      </c>
    </row>
    <row r="42" spans="1:8">
      <c r="A42" s="293"/>
      <c r="B42" s="441"/>
      <c r="C42" s="442"/>
      <c r="D42" s="434"/>
      <c r="E42" s="549" t="s">
        <v>1216</v>
      </c>
      <c r="F42" s="552">
        <f>830*(0.38*0.38)+1790*(0.37*0.26)+34*(1.4*0.8*1.06)+4*(1.4*0.8*1.42)+6*(1.4*1.1*1.06)+13*(1.4*1.1*1.42)+(1.02*1.02*1.5)+F83+F87</f>
        <v>434.75880000000001</v>
      </c>
      <c r="G42" s="513"/>
      <c r="H42" s="535"/>
    </row>
    <row r="43" spans="1:8">
      <c r="A43" s="293"/>
      <c r="B43" s="441"/>
      <c r="C43" s="442"/>
      <c r="D43" s="434"/>
      <c r="E43" s="549"/>
      <c r="F43" s="552"/>
      <c r="G43" s="513"/>
      <c r="H43" s="553"/>
    </row>
    <row r="44" spans="1:8">
      <c r="A44" s="34">
        <f>MAX(A$1:A43)+1</f>
        <v>8</v>
      </c>
      <c r="B44" s="441"/>
      <c r="C44" s="36" t="s">
        <v>83</v>
      </c>
      <c r="D44" s="66"/>
      <c r="E44" s="38" t="s">
        <v>182</v>
      </c>
      <c r="F44" s="39"/>
      <c r="G44" s="40" t="s">
        <v>18</v>
      </c>
      <c r="H44" s="544">
        <v>885.2</v>
      </c>
    </row>
    <row r="45" spans="1:8" ht="25.5">
      <c r="A45" s="293"/>
      <c r="B45" s="441"/>
      <c r="C45" s="66"/>
      <c r="D45" s="67" t="s">
        <v>85</v>
      </c>
      <c r="E45" s="71" t="s">
        <v>183</v>
      </c>
      <c r="F45" s="61"/>
      <c r="G45" s="62" t="s">
        <v>18</v>
      </c>
      <c r="H45" s="545">
        <v>885.2</v>
      </c>
    </row>
    <row r="46" spans="1:8">
      <c r="A46" s="293"/>
      <c r="B46" s="441"/>
      <c r="C46" s="442"/>
      <c r="D46" s="434"/>
      <c r="E46" s="549" t="s">
        <v>2100</v>
      </c>
      <c r="F46" s="552">
        <f>F33</f>
        <v>885.20119999999974</v>
      </c>
      <c r="G46" s="513"/>
      <c r="H46" s="553"/>
    </row>
    <row r="47" spans="1:8">
      <c r="A47" s="293"/>
      <c r="B47" s="441"/>
      <c r="C47" s="442"/>
      <c r="D47" s="434"/>
      <c r="E47" s="549"/>
      <c r="F47" s="552"/>
      <c r="G47" s="513"/>
      <c r="H47" s="553"/>
    </row>
    <row r="48" spans="1:8" ht="25.5">
      <c r="A48" s="34">
        <f>MAX(A$1:A47)+1</f>
        <v>9</v>
      </c>
      <c r="B48" s="441"/>
      <c r="C48" s="36" t="s">
        <v>185</v>
      </c>
      <c r="D48" s="37"/>
      <c r="E48" s="38" t="s">
        <v>186</v>
      </c>
      <c r="F48" s="39"/>
      <c r="G48" s="40" t="s">
        <v>21</v>
      </c>
      <c r="H48" s="844">
        <v>578.16</v>
      </c>
    </row>
    <row r="49" spans="1:8" ht="25.5">
      <c r="A49" s="293"/>
      <c r="B49" s="441"/>
      <c r="C49" s="66"/>
      <c r="D49" s="67" t="s">
        <v>187</v>
      </c>
      <c r="E49" s="71" t="s">
        <v>188</v>
      </c>
      <c r="F49" s="61"/>
      <c r="G49" s="62" t="s">
        <v>21</v>
      </c>
      <c r="H49" s="553">
        <v>578.16</v>
      </c>
    </row>
    <row r="50" spans="1:8" ht="38.25">
      <c r="A50" s="293"/>
      <c r="B50" s="441"/>
      <c r="C50" s="442"/>
      <c r="D50" s="434"/>
      <c r="E50" s="549" t="s">
        <v>2101</v>
      </c>
      <c r="F50" s="552">
        <f>2*(34*(2*1.3)+4*(2*1.6)+6*(2*1.3)+13*(2*1.6)+(1.6+1)*1.8+90*1.4)</f>
        <v>578.16</v>
      </c>
      <c r="G50" s="513"/>
      <c r="H50" s="553"/>
    </row>
    <row r="51" spans="1:8">
      <c r="A51" s="293"/>
      <c r="B51" s="441"/>
      <c r="C51" s="442"/>
      <c r="D51" s="434"/>
      <c r="E51" s="549"/>
      <c r="F51" s="552"/>
      <c r="G51" s="513"/>
      <c r="H51" s="553"/>
    </row>
    <row r="52" spans="1:8">
      <c r="A52" s="34">
        <f>MAX(A$1:A51)+1</f>
        <v>10</v>
      </c>
      <c r="B52" s="441"/>
      <c r="C52" s="36" t="s">
        <v>484</v>
      </c>
      <c r="D52" s="37"/>
      <c r="E52" s="38" t="s">
        <v>485</v>
      </c>
      <c r="F52" s="39"/>
      <c r="G52" s="40" t="s">
        <v>36</v>
      </c>
      <c r="H52" s="844">
        <v>288</v>
      </c>
    </row>
    <row r="53" spans="1:8" ht="25.5">
      <c r="A53" s="293"/>
      <c r="B53" s="441"/>
      <c r="C53" s="442"/>
      <c r="D53" s="67" t="s">
        <v>665</v>
      </c>
      <c r="E53" s="71" t="s">
        <v>666</v>
      </c>
      <c r="F53" s="61"/>
      <c r="G53" s="62" t="s">
        <v>36</v>
      </c>
      <c r="H53" s="553">
        <v>288</v>
      </c>
    </row>
    <row r="54" spans="1:8">
      <c r="A54" s="293"/>
      <c r="B54" s="441"/>
      <c r="C54" s="442"/>
      <c r="D54" s="434"/>
      <c r="E54" s="549" t="s">
        <v>2102</v>
      </c>
      <c r="F54" s="552">
        <v>288</v>
      </c>
      <c r="G54" s="513"/>
      <c r="H54" s="553"/>
    </row>
    <row r="55" spans="1:8">
      <c r="A55" s="293"/>
      <c r="B55" s="429"/>
      <c r="C55" s="430"/>
      <c r="D55" s="431"/>
      <c r="E55" s="546"/>
      <c r="F55" s="547"/>
      <c r="G55" s="512"/>
      <c r="H55" s="553"/>
    </row>
    <row r="56" spans="1:8" ht="25.5">
      <c r="A56" s="95"/>
      <c r="B56" s="35" t="s">
        <v>270</v>
      </c>
      <c r="C56" s="35"/>
      <c r="D56" s="94"/>
      <c r="E56" s="211" t="s">
        <v>271</v>
      </c>
      <c r="F56" s="100"/>
      <c r="G56" s="97"/>
      <c r="H56" s="554"/>
    </row>
    <row r="57" spans="1:8">
      <c r="A57" s="95"/>
      <c r="B57" s="946"/>
      <c r="C57" s="35"/>
      <c r="D57" s="485"/>
      <c r="E57" s="211"/>
      <c r="F57" s="100"/>
      <c r="G57" s="97"/>
      <c r="H57" s="554"/>
    </row>
    <row r="58" spans="1:8" ht="25.5">
      <c r="A58" s="34">
        <f>MAX(A$1:A57)+1</f>
        <v>11</v>
      </c>
      <c r="B58" s="327"/>
      <c r="C58" s="36" t="s">
        <v>576</v>
      </c>
      <c r="D58" s="37"/>
      <c r="E58" s="38" t="s">
        <v>577</v>
      </c>
      <c r="F58" s="123"/>
      <c r="G58" s="40" t="s">
        <v>36</v>
      </c>
      <c r="H58" s="556">
        <v>2620</v>
      </c>
    </row>
    <row r="59" spans="1:8" ht="25.5">
      <c r="A59" s="72"/>
      <c r="B59" s="329"/>
      <c r="C59" s="66"/>
      <c r="D59" s="67" t="s">
        <v>578</v>
      </c>
      <c r="E59" s="71" t="s">
        <v>579</v>
      </c>
      <c r="F59" s="46"/>
      <c r="G59" s="62" t="s">
        <v>36</v>
      </c>
      <c r="H59" s="557">
        <v>2620</v>
      </c>
    </row>
    <row r="60" spans="1:8">
      <c r="A60" s="72"/>
      <c r="B60" s="329"/>
      <c r="C60" s="66"/>
      <c r="D60" s="67"/>
      <c r="E60" s="77" t="s">
        <v>2103</v>
      </c>
      <c r="F60" s="46">
        <v>830</v>
      </c>
      <c r="G60" s="62"/>
      <c r="H60" s="557"/>
    </row>
    <row r="61" spans="1:8">
      <c r="A61" s="72"/>
      <c r="B61" s="329"/>
      <c r="C61" s="66"/>
      <c r="D61" s="67"/>
      <c r="E61" s="77" t="s">
        <v>2104</v>
      </c>
      <c r="F61" s="69">
        <v>1790</v>
      </c>
      <c r="G61" s="62"/>
      <c r="H61" s="557"/>
    </row>
    <row r="62" spans="1:8">
      <c r="A62" s="72"/>
      <c r="B62" s="329"/>
      <c r="C62" s="66"/>
      <c r="D62" s="67"/>
      <c r="E62" s="77"/>
      <c r="F62" s="46">
        <f>SUM(F60:F61)</f>
        <v>2620</v>
      </c>
      <c r="G62" s="62"/>
      <c r="H62" s="557"/>
    </row>
    <row r="63" spans="1:8">
      <c r="A63" s="72"/>
      <c r="B63" s="329"/>
      <c r="C63" s="66"/>
      <c r="D63" s="67"/>
      <c r="E63" s="77" t="s">
        <v>2105</v>
      </c>
      <c r="F63" s="46"/>
      <c r="G63" s="62"/>
      <c r="H63" s="557"/>
    </row>
    <row r="64" spans="1:8">
      <c r="A64" s="72"/>
      <c r="B64" s="329"/>
      <c r="C64" s="66"/>
      <c r="D64" s="67"/>
      <c r="E64" s="77" t="s">
        <v>2106</v>
      </c>
      <c r="F64" s="46"/>
      <c r="G64" s="62"/>
      <c r="H64" s="557"/>
    </row>
    <row r="65" spans="1:8">
      <c r="A65" s="72"/>
      <c r="B65" s="329"/>
      <c r="C65" s="66"/>
      <c r="D65" s="67"/>
      <c r="E65" s="77"/>
      <c r="F65" s="46"/>
      <c r="G65" s="62"/>
      <c r="H65" s="557"/>
    </row>
    <row r="66" spans="1:8">
      <c r="A66" s="34">
        <f>MAX(A$1:A65)+1</f>
        <v>12</v>
      </c>
      <c r="B66" s="329"/>
      <c r="C66" s="36" t="s">
        <v>2107</v>
      </c>
      <c r="D66" s="37"/>
      <c r="E66" s="38" t="s">
        <v>2108</v>
      </c>
      <c r="F66" s="39"/>
      <c r="G66" s="40" t="s">
        <v>36</v>
      </c>
      <c r="H66" s="587">
        <v>58</v>
      </c>
    </row>
    <row r="67" spans="1:8" ht="25.5">
      <c r="A67" s="72"/>
      <c r="B67" s="329"/>
      <c r="C67" s="36"/>
      <c r="D67" s="66" t="s">
        <v>2109</v>
      </c>
      <c r="E67" s="71" t="s">
        <v>2110</v>
      </c>
      <c r="F67" s="61"/>
      <c r="G67" s="62" t="s">
        <v>36</v>
      </c>
      <c r="H67" s="557">
        <v>39</v>
      </c>
    </row>
    <row r="68" spans="1:8" ht="25.5">
      <c r="A68" s="72"/>
      <c r="B68" s="329"/>
      <c r="C68" s="66"/>
      <c r="D68" s="67"/>
      <c r="E68" s="77" t="s">
        <v>2111</v>
      </c>
      <c r="F68" s="46">
        <v>34</v>
      </c>
      <c r="G68" s="62"/>
      <c r="H68" s="557"/>
    </row>
    <row r="69" spans="1:8" ht="25.5">
      <c r="A69" s="72"/>
      <c r="B69" s="329"/>
      <c r="C69" s="66"/>
      <c r="D69" s="67"/>
      <c r="E69" s="77" t="s">
        <v>2112</v>
      </c>
      <c r="F69" s="46">
        <v>4</v>
      </c>
      <c r="G69" s="62"/>
      <c r="H69" s="557"/>
    </row>
    <row r="70" spans="1:8" ht="25.5">
      <c r="A70" s="72"/>
      <c r="B70" s="329"/>
      <c r="C70" s="66"/>
      <c r="D70" s="67"/>
      <c r="E70" s="77" t="s">
        <v>2113</v>
      </c>
      <c r="F70" s="69">
        <v>1</v>
      </c>
      <c r="G70" s="62"/>
      <c r="H70" s="557"/>
    </row>
    <row r="71" spans="1:8">
      <c r="A71" s="72"/>
      <c r="B71" s="329"/>
      <c r="C71" s="66"/>
      <c r="D71" s="67"/>
      <c r="E71" s="77"/>
      <c r="F71" s="46">
        <f>SUM(F68:F70)</f>
        <v>39</v>
      </c>
      <c r="G71" s="62"/>
      <c r="H71" s="557"/>
    </row>
    <row r="72" spans="1:8" ht="25.5">
      <c r="A72" s="72"/>
      <c r="B72" s="329"/>
      <c r="C72" s="66"/>
      <c r="D72" s="66" t="s">
        <v>2114</v>
      </c>
      <c r="E72" s="71" t="s">
        <v>2115</v>
      </c>
      <c r="F72" s="61"/>
      <c r="G72" s="62" t="s">
        <v>36</v>
      </c>
      <c r="H72" s="557">
        <v>19</v>
      </c>
    </row>
    <row r="73" spans="1:8" ht="25.5">
      <c r="A73" s="72"/>
      <c r="B73" s="329"/>
      <c r="C73" s="66"/>
      <c r="D73" s="66"/>
      <c r="E73" s="77" t="s">
        <v>2116</v>
      </c>
      <c r="F73" s="61">
        <v>6</v>
      </c>
      <c r="G73" s="62"/>
      <c r="H73" s="557"/>
    </row>
    <row r="74" spans="1:8" ht="25.5">
      <c r="A74" s="72"/>
      <c r="B74" s="329"/>
      <c r="C74" s="66"/>
      <c r="D74" s="67"/>
      <c r="E74" s="77" t="s">
        <v>2117</v>
      </c>
      <c r="F74" s="69">
        <v>13</v>
      </c>
      <c r="G74" s="62"/>
      <c r="H74" s="557"/>
    </row>
    <row r="75" spans="1:8">
      <c r="A75" s="72"/>
      <c r="B75" s="329"/>
      <c r="C75" s="66"/>
      <c r="D75" s="67"/>
      <c r="E75" s="77"/>
      <c r="F75" s="46">
        <f>SUM(F73:F74)</f>
        <v>19</v>
      </c>
      <c r="G75" s="62"/>
      <c r="H75" s="557"/>
    </row>
    <row r="76" spans="1:8">
      <c r="A76" s="72"/>
      <c r="B76" s="329"/>
      <c r="C76" s="66"/>
      <c r="D76" s="67"/>
      <c r="E76" s="284"/>
      <c r="F76" s="46"/>
      <c r="G76" s="62"/>
      <c r="H76" s="557"/>
    </row>
    <row r="77" spans="1:8">
      <c r="A77" s="290"/>
      <c r="B77" s="35" t="s">
        <v>416</v>
      </c>
      <c r="C77" s="35"/>
      <c r="D77" s="94"/>
      <c r="E77" s="50" t="s">
        <v>417</v>
      </c>
      <c r="F77" s="457"/>
      <c r="G77" s="333"/>
      <c r="H77" s="558"/>
    </row>
    <row r="78" spans="1:8">
      <c r="A78" s="290"/>
      <c r="B78" s="328"/>
      <c r="C78" s="331"/>
      <c r="D78" s="332"/>
      <c r="E78" s="345"/>
      <c r="F78" s="457"/>
      <c r="G78" s="333"/>
      <c r="H78" s="558"/>
    </row>
    <row r="79" spans="1:8" ht="25.5">
      <c r="A79" s="34">
        <f>MAX(A$1:A78)+1</f>
        <v>13</v>
      </c>
      <c r="B79" s="328"/>
      <c r="C79" s="36" t="s">
        <v>387</v>
      </c>
      <c r="D79" s="66"/>
      <c r="E79" s="38" t="s">
        <v>388</v>
      </c>
      <c r="F79" s="39"/>
      <c r="G79" s="40" t="s">
        <v>18</v>
      </c>
      <c r="H79" s="559">
        <v>56.2</v>
      </c>
    </row>
    <row r="80" spans="1:8" ht="25.5">
      <c r="A80" s="334"/>
      <c r="B80" s="328"/>
      <c r="C80" s="117"/>
      <c r="D80" s="191" t="s">
        <v>389</v>
      </c>
      <c r="E80" s="193" t="s">
        <v>390</v>
      </c>
      <c r="F80" s="192"/>
      <c r="G80" s="32" t="s">
        <v>18</v>
      </c>
      <c r="H80" s="947">
        <v>55.35</v>
      </c>
    </row>
    <row r="81" spans="1:8">
      <c r="A81" s="334"/>
      <c r="B81" s="328"/>
      <c r="C81" s="117"/>
      <c r="D81" s="191"/>
      <c r="E81" s="103" t="s">
        <v>2118</v>
      </c>
      <c r="F81" s="278">
        <f>38*(2*1.4*0.1)+19*(2*1.7*0.1)</f>
        <v>17.100000000000001</v>
      </c>
      <c r="G81" s="32"/>
      <c r="H81" s="559"/>
    </row>
    <row r="82" spans="1:8">
      <c r="A82" s="334"/>
      <c r="B82" s="328"/>
      <c r="C82" s="117"/>
      <c r="D82" s="191"/>
      <c r="E82" s="103" t="s">
        <v>2119</v>
      </c>
      <c r="F82" s="272">
        <f>38*((2*1.4)-(1.4*0.8))*0.35+19*((2*1.7)-(1.4*1.1))*0.45</f>
        <v>38.247</v>
      </c>
      <c r="G82" s="32"/>
      <c r="H82" s="559"/>
    </row>
    <row r="83" spans="1:8">
      <c r="A83" s="334"/>
      <c r="B83" s="328"/>
      <c r="C83" s="117"/>
      <c r="D83" s="191"/>
      <c r="E83" s="193"/>
      <c r="F83" s="278">
        <f>SUM(F81:F82)</f>
        <v>55.347000000000001</v>
      </c>
      <c r="G83" s="32"/>
      <c r="H83" s="559"/>
    </row>
    <row r="84" spans="1:8" ht="25.5">
      <c r="A84" s="290"/>
      <c r="B84" s="328"/>
      <c r="C84" s="37"/>
      <c r="D84" s="191" t="s">
        <v>432</v>
      </c>
      <c r="E84" s="193" t="s">
        <v>433</v>
      </c>
      <c r="F84" s="192"/>
      <c r="G84" s="32" t="s">
        <v>18</v>
      </c>
      <c r="H84" s="560">
        <v>0.85</v>
      </c>
    </row>
    <row r="85" spans="1:8">
      <c r="A85" s="290"/>
      <c r="B85" s="328"/>
      <c r="C85" s="37"/>
      <c r="D85" s="191"/>
      <c r="E85" s="103" t="s">
        <v>2120</v>
      </c>
      <c r="F85" s="278">
        <f>1.6*1.6*0.15</f>
        <v>0.38400000000000006</v>
      </c>
      <c r="G85" s="32"/>
      <c r="H85" s="561"/>
    </row>
    <row r="86" spans="1:8">
      <c r="A86" s="290"/>
      <c r="B86" s="328"/>
      <c r="C86" s="37"/>
      <c r="D86" s="191"/>
      <c r="E86" s="103" t="s">
        <v>2121</v>
      </c>
      <c r="F86" s="272">
        <f>((1.6*1.6)-1)*0.3</f>
        <v>0.46800000000000014</v>
      </c>
      <c r="G86" s="32"/>
      <c r="H86" s="561"/>
    </row>
    <row r="87" spans="1:8">
      <c r="A87" s="290"/>
      <c r="B87" s="328"/>
      <c r="C87" s="66"/>
      <c r="D87" s="191"/>
      <c r="E87" s="193"/>
      <c r="F87" s="278">
        <f>SUM(F85:F86)</f>
        <v>0.8520000000000002</v>
      </c>
      <c r="G87" s="32"/>
      <c r="H87" s="561"/>
    </row>
    <row r="88" spans="1:8" ht="15.75" thickBot="1">
      <c r="A88" s="459"/>
      <c r="B88" s="460"/>
      <c r="C88" s="391"/>
      <c r="D88" s="461"/>
      <c r="E88" s="462"/>
      <c r="F88" s="524"/>
      <c r="G88" s="525"/>
      <c r="H88" s="574"/>
    </row>
    <row r="89" spans="1:8">
      <c r="A89" s="526"/>
      <c r="B89" s="527"/>
      <c r="C89" s="344"/>
      <c r="D89" s="519"/>
      <c r="E89" s="129"/>
      <c r="F89" s="131"/>
      <c r="G89" s="326"/>
      <c r="H89" s="528"/>
    </row>
    <row r="90" spans="1:8">
      <c r="A90" s="410"/>
      <c r="B90" s="410"/>
      <c r="C90" s="410"/>
      <c r="D90" s="410"/>
      <c r="E90" s="410"/>
      <c r="F90" s="498"/>
      <c r="G90" s="501"/>
      <c r="H90" s="500"/>
    </row>
  </sheetData>
  <sheetProtection algorithmName="SHA-512" hashValue="EvFuAmG02WsUsitvCSJS+/mGObvIDhzsNVbXRQCX4wPl8TNqWFN44u1eFdUsVBJsyEskfG0Fp6eMcVdPnkBpRQ==" saltValue="nDzpN8s/byGYrqwVGYR22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D9C8B-4C9B-4EDE-A152-98DA08EB82E2}">
  <sheetPr codeName="Hárok15"/>
  <dimension ref="A1:Q13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2123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29.81</v>
      </c>
    </row>
    <row r="9" spans="1:12">
      <c r="A9" s="145"/>
      <c r="B9" s="31"/>
      <c r="C9" s="31"/>
      <c r="D9" s="32"/>
      <c r="E9" s="33"/>
      <c r="F9" s="81">
        <f>F37</f>
        <v>29.814554000000001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0.68</v>
      </c>
    </row>
    <row r="12" spans="1:12">
      <c r="A12" s="145"/>
      <c r="B12" s="31"/>
      <c r="C12" s="31"/>
      <c r="D12" s="32"/>
      <c r="E12" s="33"/>
      <c r="F12" s="81">
        <f>F61</f>
        <v>0.68325000000000036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13.55</v>
      </c>
    </row>
    <row r="17" spans="1:9">
      <c r="A17" s="145"/>
      <c r="B17" s="43"/>
      <c r="C17" s="36"/>
      <c r="D17" s="37"/>
      <c r="E17" s="77" t="s">
        <v>2124</v>
      </c>
      <c r="F17" s="81">
        <f>5.5*2*0.25</f>
        <v>2.75</v>
      </c>
      <c r="G17" s="40"/>
      <c r="H17" s="128"/>
    </row>
    <row r="18" spans="1:9" ht="25.5">
      <c r="A18" s="145"/>
      <c r="B18" s="43"/>
      <c r="C18" s="36"/>
      <c r="D18" s="37"/>
      <c r="E18" s="77" t="s">
        <v>2125</v>
      </c>
      <c r="F18" s="81">
        <f>((0.92+0.6)*7.6+1.55*0.44*3)*0.34</f>
        <v>4.6233199999999997</v>
      </c>
      <c r="G18" s="40"/>
      <c r="H18" s="128"/>
    </row>
    <row r="19" spans="1:9">
      <c r="A19" s="145"/>
      <c r="B19" s="43"/>
      <c r="C19" s="36"/>
      <c r="D19" s="37"/>
      <c r="E19" s="77" t="s">
        <v>2126</v>
      </c>
      <c r="F19" s="81">
        <f>7*0.85-0.24</f>
        <v>5.71</v>
      </c>
      <c r="G19" s="40"/>
      <c r="H19" s="128"/>
    </row>
    <row r="20" spans="1:9" ht="25.5">
      <c r="A20" s="145"/>
      <c r="B20" s="31"/>
      <c r="C20" s="31"/>
      <c r="D20" s="32"/>
      <c r="E20" s="77" t="s">
        <v>2127</v>
      </c>
      <c r="F20" s="133">
        <f>0.25*0.25*0.75*10</f>
        <v>0.46875</v>
      </c>
      <c r="G20" s="29"/>
      <c r="H20" s="30"/>
    </row>
    <row r="21" spans="1:9">
      <c r="A21" s="145"/>
      <c r="B21" s="31"/>
      <c r="C21" s="31"/>
      <c r="D21" s="32"/>
      <c r="E21" s="77"/>
      <c r="F21" s="81">
        <f>SUM(F17:F20)</f>
        <v>13.552070000000001</v>
      </c>
      <c r="G21" s="29"/>
      <c r="H21" s="30"/>
    </row>
    <row r="22" spans="1:9">
      <c r="A22" s="145"/>
      <c r="B22" s="31"/>
      <c r="C22" s="31"/>
      <c r="D22" s="32"/>
      <c r="E22" s="33"/>
      <c r="F22" s="81"/>
      <c r="G22" s="29"/>
      <c r="H22" s="30"/>
    </row>
    <row r="23" spans="1:9" ht="27.75" customHeight="1">
      <c r="A23" s="34">
        <f>MAX(A$1:A16)+1</f>
        <v>4</v>
      </c>
      <c r="B23" s="43"/>
      <c r="C23" s="36" t="s">
        <v>34</v>
      </c>
      <c r="D23" s="37"/>
      <c r="E23" s="38" t="s">
        <v>35</v>
      </c>
      <c r="F23" s="39"/>
      <c r="G23" s="40" t="s">
        <v>36</v>
      </c>
      <c r="H23" s="128">
        <v>56</v>
      </c>
    </row>
    <row r="24" spans="1:9" ht="25.5">
      <c r="A24" s="145"/>
      <c r="B24" s="43"/>
      <c r="C24" s="36"/>
      <c r="D24" s="37"/>
      <c r="E24" s="65" t="s">
        <v>2128</v>
      </c>
      <c r="F24" s="46">
        <v>19</v>
      </c>
      <c r="G24" s="40"/>
      <c r="H24" s="128"/>
    </row>
    <row r="25" spans="1:9" ht="25.5">
      <c r="A25" s="145"/>
      <c r="B25" s="43"/>
      <c r="C25" s="36"/>
      <c r="D25" s="37"/>
      <c r="E25" s="65" t="s">
        <v>2129</v>
      </c>
      <c r="F25" s="46">
        <f>1.5*4</f>
        <v>6</v>
      </c>
      <c r="G25" s="40"/>
      <c r="H25" s="128"/>
    </row>
    <row r="26" spans="1:9" ht="25.5">
      <c r="A26" s="145"/>
      <c r="B26" s="43"/>
      <c r="C26" s="36"/>
      <c r="D26" s="37"/>
      <c r="E26" s="65" t="s">
        <v>2130</v>
      </c>
      <c r="F26" s="46">
        <v>7</v>
      </c>
      <c r="G26" s="40"/>
      <c r="H26" s="128"/>
    </row>
    <row r="27" spans="1:9">
      <c r="A27" s="145"/>
      <c r="B27" s="31"/>
      <c r="C27" s="31"/>
      <c r="D27" s="32"/>
      <c r="E27" s="77" t="s">
        <v>2131</v>
      </c>
      <c r="F27" s="133">
        <v>24</v>
      </c>
      <c r="G27" s="29"/>
      <c r="H27" s="30"/>
    </row>
    <row r="28" spans="1:9">
      <c r="A28" s="145"/>
      <c r="B28" s="31"/>
      <c r="C28" s="31"/>
      <c r="D28" s="32"/>
      <c r="E28" s="77"/>
      <c r="F28" s="81">
        <f>SUM(F24:F27)</f>
        <v>56</v>
      </c>
      <c r="G28" s="29"/>
      <c r="H28" s="30"/>
    </row>
    <row r="29" spans="1:9">
      <c r="A29" s="145"/>
      <c r="B29" s="31"/>
      <c r="C29" s="31"/>
      <c r="D29" s="32"/>
      <c r="E29" s="33"/>
      <c r="F29" s="81"/>
      <c r="G29" s="29"/>
      <c r="H29" s="30"/>
    </row>
    <row r="30" spans="1:9">
      <c r="A30" s="34">
        <f>MAX(A$1:A29)+1</f>
        <v>5</v>
      </c>
      <c r="B30" s="31"/>
      <c r="C30" s="36" t="s">
        <v>37</v>
      </c>
      <c r="D30" s="37"/>
      <c r="E30" s="38" t="s">
        <v>38</v>
      </c>
      <c r="F30" s="39"/>
      <c r="G30" s="40" t="s">
        <v>15</v>
      </c>
      <c r="H30" s="128">
        <v>31.42</v>
      </c>
      <c r="I30" s="710"/>
    </row>
    <row r="31" spans="1:9">
      <c r="A31" s="145"/>
      <c r="B31" s="31"/>
      <c r="C31" s="66"/>
      <c r="D31" s="67" t="s">
        <v>39</v>
      </c>
      <c r="E31" s="71" t="s">
        <v>40</v>
      </c>
      <c r="F31" s="61"/>
      <c r="G31" s="62" t="s">
        <v>15</v>
      </c>
      <c r="H31" s="124">
        <v>31.42</v>
      </c>
    </row>
    <row r="32" spans="1:9">
      <c r="A32" s="145"/>
      <c r="B32" s="31"/>
      <c r="C32" s="31"/>
      <c r="D32" s="32"/>
      <c r="E32" s="121" t="s">
        <v>71</v>
      </c>
      <c r="F32" s="81"/>
      <c r="G32" s="29"/>
      <c r="H32" s="30"/>
    </row>
    <row r="33" spans="1:17">
      <c r="A33" s="145"/>
      <c r="B33" s="31"/>
      <c r="C33" s="31"/>
      <c r="D33" s="32"/>
      <c r="E33" s="77" t="s">
        <v>2132</v>
      </c>
      <c r="F33" s="81">
        <f>F17*2.2</f>
        <v>6.0500000000000007</v>
      </c>
      <c r="G33" s="29"/>
      <c r="H33" s="30"/>
    </row>
    <row r="34" spans="1:17" ht="25.5">
      <c r="A34" s="145"/>
      <c r="B34" s="31"/>
      <c r="C34" s="31"/>
      <c r="D34" s="32"/>
      <c r="E34" s="77" t="s">
        <v>2133</v>
      </c>
      <c r="F34" s="81">
        <f>F18*2.2</f>
        <v>10.171303999999999</v>
      </c>
      <c r="G34" s="29"/>
      <c r="H34" s="30"/>
    </row>
    <row r="35" spans="1:17">
      <c r="A35" s="145"/>
      <c r="B35" s="31"/>
      <c r="C35" s="31"/>
      <c r="D35" s="32"/>
      <c r="E35" s="77" t="s">
        <v>2134</v>
      </c>
      <c r="F35" s="81">
        <f>F19*2.2</f>
        <v>12.562000000000001</v>
      </c>
      <c r="G35" s="29"/>
      <c r="H35" s="30"/>
    </row>
    <row r="36" spans="1:17" ht="25.5">
      <c r="A36" s="145"/>
      <c r="B36" s="31"/>
      <c r="C36" s="31"/>
      <c r="D36" s="32"/>
      <c r="E36" s="77" t="s">
        <v>2135</v>
      </c>
      <c r="F36" s="133">
        <f>F20*2.2</f>
        <v>1.03125</v>
      </c>
      <c r="G36" s="29"/>
      <c r="H36" s="30"/>
    </row>
    <row r="37" spans="1:17">
      <c r="A37" s="145"/>
      <c r="B37" s="31"/>
      <c r="C37" s="31"/>
      <c r="D37" s="32"/>
      <c r="E37" s="77"/>
      <c r="F37" s="81">
        <f>SUM(F33:F36)</f>
        <v>29.814554000000001</v>
      </c>
      <c r="G37" s="29"/>
      <c r="H37" s="30"/>
    </row>
    <row r="38" spans="1:17">
      <c r="A38" s="145"/>
      <c r="B38" s="31"/>
      <c r="C38" s="31"/>
      <c r="D38" s="32"/>
      <c r="E38" s="77"/>
      <c r="F38" s="81"/>
      <c r="G38" s="29"/>
      <c r="H38" s="30"/>
    </row>
    <row r="39" spans="1:17">
      <c r="A39" s="145"/>
      <c r="B39" s="31"/>
      <c r="C39" s="31"/>
      <c r="D39" s="32"/>
      <c r="E39" s="121" t="s">
        <v>142</v>
      </c>
      <c r="F39" s="81"/>
      <c r="G39" s="29"/>
      <c r="H39" s="30"/>
    </row>
    <row r="40" spans="1:17" ht="25.5">
      <c r="A40" s="145"/>
      <c r="B40" s="31"/>
      <c r="C40" s="31"/>
      <c r="D40" s="32"/>
      <c r="E40" s="65" t="s">
        <v>2136</v>
      </c>
      <c r="F40" s="46">
        <f>F24*0.03</f>
        <v>0.56999999999999995</v>
      </c>
      <c r="G40" s="29"/>
      <c r="H40" s="30"/>
    </row>
    <row r="41" spans="1:17" ht="25.5">
      <c r="A41" s="145"/>
      <c r="B41" s="31"/>
      <c r="C41" s="31"/>
      <c r="D41" s="32"/>
      <c r="E41" s="65" t="s">
        <v>2137</v>
      </c>
      <c r="F41" s="46">
        <f>F25*0.045</f>
        <v>0.27</v>
      </c>
      <c r="G41" s="29"/>
      <c r="H41" s="30"/>
    </row>
    <row r="42" spans="1:17" ht="25.5">
      <c r="A42" s="145"/>
      <c r="B42" s="31"/>
      <c r="C42" s="31"/>
      <c r="D42" s="32"/>
      <c r="E42" s="65" t="s">
        <v>2138</v>
      </c>
      <c r="F42" s="46">
        <f>F26*0.06</f>
        <v>0.42</v>
      </c>
      <c r="G42" s="29"/>
      <c r="H42" s="30"/>
    </row>
    <row r="43" spans="1:17" ht="25.5">
      <c r="A43" s="145"/>
      <c r="B43" s="31"/>
      <c r="C43" s="31"/>
      <c r="D43" s="32"/>
      <c r="E43" s="77" t="s">
        <v>2139</v>
      </c>
      <c r="F43" s="133">
        <f>F27*0.0142</f>
        <v>0.34079999999999999</v>
      </c>
      <c r="G43" s="29"/>
      <c r="H43" s="30"/>
    </row>
    <row r="44" spans="1:17">
      <c r="A44" s="145"/>
      <c r="B44" s="31"/>
      <c r="C44" s="31"/>
      <c r="D44" s="32"/>
      <c r="E44" s="77"/>
      <c r="F44" s="81">
        <f>SUM(F40:F43)</f>
        <v>1.6008</v>
      </c>
      <c r="G44" s="29"/>
      <c r="H44" s="30"/>
    </row>
    <row r="45" spans="1:17">
      <c r="A45" s="145"/>
      <c r="B45" s="31"/>
      <c r="C45" s="31"/>
      <c r="D45" s="32"/>
      <c r="E45" s="91" t="s">
        <v>41</v>
      </c>
      <c r="F45" s="151">
        <f>F37+F44</f>
        <v>31.415354000000001</v>
      </c>
      <c r="G45" s="29"/>
      <c r="H45" s="30"/>
    </row>
    <row r="46" spans="1:17">
      <c r="A46" s="145"/>
      <c r="B46" s="31"/>
      <c r="C46" s="31"/>
      <c r="D46" s="32"/>
      <c r="E46" s="77"/>
      <c r="F46" s="81"/>
      <c r="G46" s="29"/>
      <c r="H46" s="30"/>
    </row>
    <row r="47" spans="1:17" s="98" customFormat="1">
      <c r="A47" s="95"/>
      <c r="B47" s="35" t="s">
        <v>54</v>
      </c>
      <c r="C47" s="93"/>
      <c r="D47" s="94"/>
      <c r="E47" s="50" t="s">
        <v>55</v>
      </c>
      <c r="F47" s="100"/>
      <c r="G47" s="101"/>
      <c r="H47" s="42"/>
      <c r="I47"/>
      <c r="J47"/>
      <c r="K47"/>
      <c r="L47"/>
      <c r="Q47"/>
    </row>
    <row r="48" spans="1:17">
      <c r="A48" s="34"/>
      <c r="B48" s="31"/>
      <c r="C48" s="31"/>
      <c r="D48" s="32"/>
      <c r="E48" s="33"/>
      <c r="F48" s="81"/>
      <c r="G48" s="29"/>
      <c r="H48" s="30"/>
    </row>
    <row r="49" spans="1:9">
      <c r="A49" s="34">
        <f>MAX(A$1:A48)+1</f>
        <v>6</v>
      </c>
      <c r="B49" s="31"/>
      <c r="C49" s="36" t="s">
        <v>400</v>
      </c>
      <c r="D49" s="37"/>
      <c r="E49" s="38" t="s">
        <v>401</v>
      </c>
      <c r="F49" s="39"/>
      <c r="G49" s="40" t="s">
        <v>18</v>
      </c>
      <c r="H49" s="64">
        <v>1.1499999999999999</v>
      </c>
    </row>
    <row r="50" spans="1:9">
      <c r="A50" s="34"/>
      <c r="B50" s="31"/>
      <c r="C50" s="31"/>
      <c r="D50" s="67" t="s">
        <v>402</v>
      </c>
      <c r="E50" s="71" t="s">
        <v>403</v>
      </c>
      <c r="F50" s="61"/>
      <c r="G50" s="62" t="s">
        <v>18</v>
      </c>
      <c r="H50" s="83">
        <v>1.1499999999999999</v>
      </c>
    </row>
    <row r="51" spans="1:9">
      <c r="A51" s="34"/>
      <c r="B51" s="31"/>
      <c r="C51" s="31"/>
      <c r="D51" s="32"/>
      <c r="E51" s="77" t="s">
        <v>2140</v>
      </c>
      <c r="F51" s="81">
        <f>0.4*0.4*0.8*9</f>
        <v>1.1520000000000004</v>
      </c>
      <c r="G51" s="29"/>
      <c r="H51" s="30"/>
    </row>
    <row r="52" spans="1:9">
      <c r="A52" s="34"/>
      <c r="B52" s="31"/>
      <c r="C52" s="31"/>
      <c r="D52" s="32"/>
      <c r="E52" s="155"/>
      <c r="F52" s="81"/>
      <c r="G52" s="29"/>
      <c r="H52" s="30"/>
    </row>
    <row r="53" spans="1:9">
      <c r="A53" s="34">
        <f>MAX(A$1:A52)+1</f>
        <v>7</v>
      </c>
      <c r="B53" s="43"/>
      <c r="C53" s="36" t="s">
        <v>78</v>
      </c>
      <c r="D53" s="37"/>
      <c r="E53" s="38" t="s">
        <v>79</v>
      </c>
      <c r="F53" s="39"/>
      <c r="G53" s="40" t="s">
        <v>18</v>
      </c>
      <c r="H53" s="64">
        <v>0.47</v>
      </c>
      <c r="I53" s="710"/>
    </row>
    <row r="54" spans="1:9">
      <c r="A54" s="72"/>
      <c r="B54" s="73"/>
      <c r="C54" s="66"/>
      <c r="D54" s="67" t="s">
        <v>80</v>
      </c>
      <c r="E54" s="71" t="s">
        <v>81</v>
      </c>
      <c r="F54" s="61"/>
      <c r="G54" s="62" t="s">
        <v>18</v>
      </c>
      <c r="H54" s="83">
        <v>0.47</v>
      </c>
    </row>
    <row r="55" spans="1:9" ht="25.5">
      <c r="A55" s="34"/>
      <c r="B55" s="31"/>
      <c r="C55" s="31"/>
      <c r="D55" s="32"/>
      <c r="E55" s="77" t="s">
        <v>2141</v>
      </c>
      <c r="F55" s="159">
        <f>0.25*0.25*0.75*10</f>
        <v>0.46875</v>
      </c>
      <c r="G55" s="29"/>
      <c r="H55" s="30"/>
    </row>
    <row r="56" spans="1:9">
      <c r="A56" s="34"/>
      <c r="B56" s="31"/>
      <c r="C56" s="31"/>
      <c r="D56" s="32"/>
      <c r="E56" s="158"/>
      <c r="F56" s="711"/>
      <c r="G56" s="29"/>
      <c r="H56" s="30"/>
    </row>
    <row r="57" spans="1:9">
      <c r="A57" s="34"/>
      <c r="B57" s="35" t="s">
        <v>56</v>
      </c>
      <c r="C57" s="93"/>
      <c r="D57" s="94"/>
      <c r="E57" s="96" t="s">
        <v>57</v>
      </c>
      <c r="F57" s="160"/>
      <c r="G57" s="29"/>
      <c r="H57" s="30"/>
    </row>
    <row r="58" spans="1:9">
      <c r="A58" s="34"/>
      <c r="B58" s="31"/>
      <c r="C58" s="31"/>
      <c r="D58" s="32"/>
      <c r="E58" s="492"/>
      <c r="F58" s="148"/>
      <c r="G58" s="29"/>
      <c r="H58" s="30"/>
    </row>
    <row r="59" spans="1:9">
      <c r="A59" s="34">
        <f>MAX(A$1:A58)+1</f>
        <v>8</v>
      </c>
      <c r="B59" s="31"/>
      <c r="C59" s="36" t="s">
        <v>58</v>
      </c>
      <c r="D59" s="37"/>
      <c r="E59" s="38" t="s">
        <v>59</v>
      </c>
      <c r="F59" s="39"/>
      <c r="G59" s="40" t="s">
        <v>18</v>
      </c>
      <c r="H59" s="64">
        <v>0.68</v>
      </c>
    </row>
    <row r="60" spans="1:9">
      <c r="A60" s="34"/>
      <c r="B60" s="31"/>
      <c r="C60" s="66"/>
      <c r="D60" s="67" t="s">
        <v>60</v>
      </c>
      <c r="E60" s="71" t="s">
        <v>61</v>
      </c>
      <c r="F60" s="61"/>
      <c r="G60" s="62" t="s">
        <v>18</v>
      </c>
      <c r="H60" s="83">
        <v>0.68</v>
      </c>
    </row>
    <row r="61" spans="1:9">
      <c r="A61" s="34"/>
      <c r="B61" s="31"/>
      <c r="C61" s="31"/>
      <c r="D61" s="32"/>
      <c r="E61" s="157" t="s">
        <v>1212</v>
      </c>
      <c r="F61" s="81">
        <f>F72</f>
        <v>0.68325000000000036</v>
      </c>
      <c r="G61" s="29"/>
      <c r="H61" s="30"/>
    </row>
    <row r="62" spans="1:9">
      <c r="A62" s="34"/>
      <c r="B62" s="31"/>
      <c r="C62" s="31"/>
      <c r="D62" s="32"/>
      <c r="E62" s="77"/>
      <c r="F62" s="148"/>
      <c r="G62" s="29"/>
      <c r="H62" s="30"/>
    </row>
    <row r="63" spans="1:9">
      <c r="A63" s="34">
        <f>MAX(A$1:A62)+1</f>
        <v>9</v>
      </c>
      <c r="B63" s="43"/>
      <c r="C63" s="36" t="s">
        <v>175</v>
      </c>
      <c r="D63" s="37"/>
      <c r="E63" s="38" t="s">
        <v>775</v>
      </c>
      <c r="F63" s="39"/>
      <c r="G63" s="40" t="s">
        <v>18</v>
      </c>
      <c r="H63" s="64">
        <v>0.94</v>
      </c>
    </row>
    <row r="64" spans="1:9" ht="25.5">
      <c r="A64" s="72"/>
      <c r="B64" s="73"/>
      <c r="C64" s="66"/>
      <c r="D64" s="67" t="s">
        <v>177</v>
      </c>
      <c r="E64" s="71" t="s">
        <v>178</v>
      </c>
      <c r="F64" s="61"/>
      <c r="G64" s="62" t="s">
        <v>18</v>
      </c>
      <c r="H64" s="83">
        <v>0.94</v>
      </c>
    </row>
    <row r="65" spans="1:8">
      <c r="A65" s="34"/>
      <c r="B65" s="31"/>
      <c r="C65" s="66"/>
      <c r="D65" s="67"/>
      <c r="E65" s="65" t="s">
        <v>179</v>
      </c>
      <c r="F65" s="46">
        <f>F55*2</f>
        <v>0.9375</v>
      </c>
      <c r="G65" s="62"/>
      <c r="H65" s="30"/>
    </row>
    <row r="66" spans="1:8">
      <c r="A66" s="34"/>
      <c r="B66" s="31"/>
      <c r="C66" s="66"/>
      <c r="D66" s="67"/>
      <c r="E66" s="71"/>
      <c r="F66" s="61"/>
      <c r="G66" s="62"/>
      <c r="H66" s="30"/>
    </row>
    <row r="67" spans="1:8">
      <c r="A67" s="34">
        <f>MAX(A$1:A66)+1</f>
        <v>10</v>
      </c>
      <c r="B67" s="43"/>
      <c r="C67" s="36" t="s">
        <v>50</v>
      </c>
      <c r="D67" s="37"/>
      <c r="E67" s="38" t="s">
        <v>51</v>
      </c>
      <c r="F67" s="39"/>
      <c r="G67" s="40" t="s">
        <v>18</v>
      </c>
      <c r="H67" s="64">
        <v>0.68</v>
      </c>
    </row>
    <row r="68" spans="1:8" ht="25.5">
      <c r="A68" s="72"/>
      <c r="B68" s="73"/>
      <c r="C68" s="66"/>
      <c r="D68" s="67" t="s">
        <v>138</v>
      </c>
      <c r="E68" s="71" t="s">
        <v>139</v>
      </c>
      <c r="F68" s="61"/>
      <c r="G68" s="62" t="s">
        <v>18</v>
      </c>
      <c r="H68" s="83">
        <v>0.68</v>
      </c>
    </row>
    <row r="69" spans="1:8">
      <c r="A69" s="34"/>
      <c r="B69" s="31"/>
      <c r="C69" s="31"/>
      <c r="D69" s="32"/>
      <c r="E69" s="712" t="s">
        <v>1216</v>
      </c>
      <c r="F69" s="163"/>
      <c r="G69" s="29"/>
      <c r="H69" s="30"/>
    </row>
    <row r="70" spans="1:8">
      <c r="A70" s="34"/>
      <c r="B70" s="31"/>
      <c r="C70" s="31"/>
      <c r="D70" s="32"/>
      <c r="E70" s="161" t="s">
        <v>66</v>
      </c>
      <c r="F70" s="163">
        <f>F51</f>
        <v>1.1520000000000004</v>
      </c>
      <c r="G70" s="29"/>
      <c r="H70" s="30"/>
    </row>
    <row r="71" spans="1:8">
      <c r="A71" s="34"/>
      <c r="B71" s="31"/>
      <c r="C71" s="31"/>
      <c r="D71" s="32"/>
      <c r="E71" s="161" t="s">
        <v>82</v>
      </c>
      <c r="F71" s="162">
        <f>-F55</f>
        <v>-0.46875</v>
      </c>
      <c r="G71" s="29"/>
      <c r="H71" s="30"/>
    </row>
    <row r="72" spans="1:8">
      <c r="A72" s="34"/>
      <c r="B72" s="31"/>
      <c r="C72" s="31"/>
      <c r="D72" s="32"/>
      <c r="E72" s="161"/>
      <c r="F72" s="163">
        <f>SUM(F70:F71)</f>
        <v>0.68325000000000036</v>
      </c>
      <c r="G72" s="29"/>
      <c r="H72" s="30"/>
    </row>
    <row r="73" spans="1:8">
      <c r="A73" s="34"/>
      <c r="B73" s="31"/>
      <c r="C73" s="31"/>
      <c r="D73" s="32"/>
      <c r="E73" s="164"/>
      <c r="F73" s="163"/>
      <c r="G73" s="29"/>
      <c r="H73" s="30"/>
    </row>
    <row r="74" spans="1:8">
      <c r="A74" s="34">
        <f>MAX(A$1:A73)+1</f>
        <v>11</v>
      </c>
      <c r="B74" s="31"/>
      <c r="C74" s="36" t="s">
        <v>83</v>
      </c>
      <c r="D74" s="37"/>
      <c r="E74" s="38" t="s">
        <v>84</v>
      </c>
      <c r="F74" s="39"/>
      <c r="G74" s="40" t="s">
        <v>18</v>
      </c>
      <c r="H74" s="64">
        <v>0.47</v>
      </c>
    </row>
    <row r="75" spans="1:8" ht="25.5">
      <c r="A75" s="34"/>
      <c r="B75" s="31"/>
      <c r="C75" s="66"/>
      <c r="D75" s="67" t="s">
        <v>85</v>
      </c>
      <c r="E75" s="71" t="s">
        <v>86</v>
      </c>
      <c r="F75" s="61"/>
      <c r="G75" s="62" t="s">
        <v>18</v>
      </c>
      <c r="H75" s="83">
        <v>0.47</v>
      </c>
    </row>
    <row r="76" spans="1:8">
      <c r="A76" s="34"/>
      <c r="B76" s="31"/>
      <c r="C76" s="31"/>
      <c r="D76" s="32"/>
      <c r="E76" s="161" t="s">
        <v>181</v>
      </c>
      <c r="F76" s="163">
        <f>F55</f>
        <v>0.46875</v>
      </c>
      <c r="G76" s="29"/>
      <c r="H76" s="30"/>
    </row>
    <row r="77" spans="1:8">
      <c r="A77" s="34"/>
      <c r="B77" s="31"/>
      <c r="C77" s="31"/>
      <c r="D77" s="32"/>
      <c r="E77" s="161"/>
      <c r="F77" s="163"/>
      <c r="G77" s="29"/>
      <c r="H77" s="30"/>
    </row>
    <row r="78" spans="1:8" ht="25.5">
      <c r="A78" s="34"/>
      <c r="B78" s="35" t="s">
        <v>261</v>
      </c>
      <c r="C78" s="35"/>
      <c r="D78" s="94"/>
      <c r="E78" s="50" t="s">
        <v>262</v>
      </c>
      <c r="F78" s="46"/>
      <c r="G78" s="62"/>
      <c r="H78" s="30"/>
    </row>
    <row r="79" spans="1:8">
      <c r="A79" s="34"/>
      <c r="B79" s="31"/>
      <c r="C79" s="31"/>
      <c r="D79" s="67"/>
      <c r="E79" s="65"/>
      <c r="F79" s="46"/>
      <c r="G79" s="62"/>
      <c r="H79" s="30"/>
    </row>
    <row r="80" spans="1:8">
      <c r="A80" s="34">
        <f>MAX(A$1:A79)+1</f>
        <v>12</v>
      </c>
      <c r="B80" s="31"/>
      <c r="C80" s="36" t="s">
        <v>2142</v>
      </c>
      <c r="D80" s="37"/>
      <c r="E80" s="38" t="s">
        <v>2143</v>
      </c>
      <c r="F80" s="39"/>
      <c r="G80" s="40" t="s">
        <v>18</v>
      </c>
      <c r="H80" s="128">
        <v>4.62</v>
      </c>
    </row>
    <row r="81" spans="1:8" ht="38.25">
      <c r="A81" s="34"/>
      <c r="B81" s="31"/>
      <c r="C81" s="31"/>
      <c r="D81" s="67"/>
      <c r="E81" s="65" t="s">
        <v>2144</v>
      </c>
      <c r="F81" s="46">
        <f>((0.92+0.6)*7.6+1.55*0.44*3)*0.34</f>
        <v>4.6233199999999997</v>
      </c>
      <c r="G81" s="62"/>
      <c r="H81" s="30"/>
    </row>
    <row r="82" spans="1:8">
      <c r="A82" s="34"/>
      <c r="B82" s="31"/>
      <c r="C82" s="31"/>
      <c r="D82" s="67"/>
      <c r="E82" s="65"/>
      <c r="F82" s="46"/>
      <c r="G82" s="62"/>
      <c r="H82" s="30"/>
    </row>
    <row r="83" spans="1:8">
      <c r="A83" s="34"/>
      <c r="B83" s="35" t="s">
        <v>416</v>
      </c>
      <c r="C83" s="35"/>
      <c r="D83" s="94"/>
      <c r="E83" s="50" t="s">
        <v>417</v>
      </c>
      <c r="F83" s="92"/>
      <c r="G83" s="40"/>
      <c r="H83" s="64"/>
    </row>
    <row r="84" spans="1:8">
      <c r="A84" s="34"/>
      <c r="B84" s="35"/>
      <c r="C84" s="35"/>
      <c r="D84" s="94"/>
      <c r="E84" s="50"/>
      <c r="F84" s="92"/>
      <c r="G84" s="40"/>
      <c r="H84" s="64"/>
    </row>
    <row r="85" spans="1:8">
      <c r="A85" s="34">
        <f>MAX(A$1:A84)+1</f>
        <v>13</v>
      </c>
      <c r="B85" s="35"/>
      <c r="C85" s="36" t="s">
        <v>420</v>
      </c>
      <c r="D85" s="37"/>
      <c r="E85" s="38" t="s">
        <v>421</v>
      </c>
      <c r="F85" s="39"/>
      <c r="G85" s="40" t="s">
        <v>18</v>
      </c>
      <c r="H85" s="64">
        <v>1.1499999999999999</v>
      </c>
    </row>
    <row r="86" spans="1:8">
      <c r="A86" s="34"/>
      <c r="B86" s="35"/>
      <c r="C86" s="35"/>
      <c r="D86" s="191" t="s">
        <v>644</v>
      </c>
      <c r="E86" s="193" t="s">
        <v>645</v>
      </c>
      <c r="F86" s="192"/>
      <c r="G86" s="32" t="s">
        <v>18</v>
      </c>
      <c r="H86" s="124">
        <v>1.1499999999999999</v>
      </c>
    </row>
    <row r="87" spans="1:8">
      <c r="A87" s="34"/>
      <c r="B87" s="35"/>
      <c r="C87" s="35"/>
      <c r="D87" s="191"/>
      <c r="E87" s="210" t="s">
        <v>2042</v>
      </c>
      <c r="F87" s="192"/>
      <c r="G87" s="32"/>
      <c r="H87" s="64"/>
    </row>
    <row r="88" spans="1:8" ht="25.5">
      <c r="A88" s="34"/>
      <c r="B88" s="35"/>
      <c r="C88" s="35"/>
      <c r="D88" s="94"/>
      <c r="E88" s="325" t="s">
        <v>2145</v>
      </c>
      <c r="F88" s="90">
        <f>0.4*0.4*0.8*9</f>
        <v>1.1520000000000004</v>
      </c>
      <c r="G88" s="40"/>
      <c r="H88" s="64"/>
    </row>
    <row r="89" spans="1:8">
      <c r="A89" s="34"/>
      <c r="B89" s="43"/>
      <c r="C89" s="36"/>
      <c r="D89" s="37"/>
      <c r="E89" s="38"/>
      <c r="F89" s="39"/>
      <c r="G89" s="40"/>
      <c r="H89" s="64"/>
    </row>
    <row r="90" spans="1:8">
      <c r="A90" s="34">
        <f>MAX(A$1:A89)+1</f>
        <v>14</v>
      </c>
      <c r="B90" s="43"/>
      <c r="C90" s="36" t="s">
        <v>761</v>
      </c>
      <c r="D90" s="37"/>
      <c r="E90" s="38" t="s">
        <v>762</v>
      </c>
      <c r="F90" s="39"/>
      <c r="G90" s="40" t="s">
        <v>18</v>
      </c>
      <c r="H90" s="64">
        <v>4.09</v>
      </c>
    </row>
    <row r="91" spans="1:8">
      <c r="A91" s="34"/>
      <c r="B91" s="31"/>
      <c r="C91" s="31"/>
      <c r="D91" s="191" t="s">
        <v>763</v>
      </c>
      <c r="E91" s="193" t="s">
        <v>764</v>
      </c>
      <c r="F91" s="192"/>
      <c r="G91" s="32" t="s">
        <v>18</v>
      </c>
      <c r="H91" s="83">
        <v>4.09</v>
      </c>
    </row>
    <row r="92" spans="1:8">
      <c r="A92" s="34"/>
      <c r="B92" s="31"/>
      <c r="C92" s="31"/>
      <c r="D92" s="191"/>
      <c r="E92" s="103" t="s">
        <v>2146</v>
      </c>
      <c r="F92" s="271">
        <f>5.5*2*0.25</f>
        <v>2.75</v>
      </c>
      <c r="G92" s="32"/>
      <c r="H92" s="83"/>
    </row>
    <row r="93" spans="1:8">
      <c r="A93" s="34"/>
      <c r="B93" s="31"/>
      <c r="C93" s="31"/>
      <c r="D93" s="32"/>
      <c r="E93" s="103" t="s">
        <v>2147</v>
      </c>
      <c r="F93" s="272">
        <f>7*0.8*0.24</f>
        <v>1.3440000000000001</v>
      </c>
      <c r="G93" s="29"/>
      <c r="H93" s="30"/>
    </row>
    <row r="94" spans="1:8">
      <c r="A94" s="34"/>
      <c r="B94" s="31"/>
      <c r="C94" s="31"/>
      <c r="D94" s="32"/>
      <c r="E94" s="103"/>
      <c r="F94" s="278">
        <f>SUM(F92:F93)</f>
        <v>4.0940000000000003</v>
      </c>
      <c r="G94" s="29"/>
      <c r="H94" s="30"/>
    </row>
    <row r="95" spans="1:8">
      <c r="A95" s="34"/>
      <c r="B95" s="43"/>
      <c r="C95" s="36"/>
      <c r="D95" s="37"/>
      <c r="E95" s="38"/>
      <c r="F95" s="39"/>
      <c r="G95" s="40"/>
      <c r="H95" s="64"/>
    </row>
    <row r="96" spans="1:8">
      <c r="A96" s="34">
        <f>MAX(A$1:A95)+1</f>
        <v>15</v>
      </c>
      <c r="B96" s="73"/>
      <c r="C96" s="36" t="s">
        <v>765</v>
      </c>
      <c r="D96" s="37"/>
      <c r="E96" s="38" t="s">
        <v>766</v>
      </c>
      <c r="F96" s="39"/>
      <c r="G96" s="40" t="s">
        <v>21</v>
      </c>
      <c r="H96" s="64">
        <v>34.39</v>
      </c>
    </row>
    <row r="97" spans="1:17">
      <c r="A97" s="34"/>
      <c r="B97" s="31"/>
      <c r="C97" s="66"/>
      <c r="D97" s="67" t="s">
        <v>767</v>
      </c>
      <c r="E97" s="71" t="s">
        <v>768</v>
      </c>
      <c r="F97" s="61"/>
      <c r="G97" s="62" t="s">
        <v>21</v>
      </c>
      <c r="H97" s="83">
        <v>34.39</v>
      </c>
    </row>
    <row r="98" spans="1:17" ht="25.5">
      <c r="A98" s="34"/>
      <c r="B98" s="31"/>
      <c r="C98" s="66"/>
      <c r="D98" s="67"/>
      <c r="E98" s="65" t="s">
        <v>2148</v>
      </c>
      <c r="F98" s="46">
        <f>5.5*2*2+2*0.25*2</f>
        <v>23</v>
      </c>
      <c r="G98" s="62"/>
      <c r="H98" s="83"/>
    </row>
    <row r="99" spans="1:17" ht="25.5">
      <c r="A99" s="34"/>
      <c r="B99" s="31"/>
      <c r="C99" s="31"/>
      <c r="D99" s="32"/>
      <c r="E99" s="65" t="s">
        <v>2149</v>
      </c>
      <c r="F99" s="69">
        <f>7*0.8*2+0.8*0.24*1</f>
        <v>11.392000000000001</v>
      </c>
      <c r="G99" s="29"/>
      <c r="H99" s="30"/>
    </row>
    <row r="100" spans="1:17">
      <c r="A100" s="34"/>
      <c r="B100" s="31"/>
      <c r="C100" s="31"/>
      <c r="D100" s="32"/>
      <c r="E100" s="77"/>
      <c r="F100" s="936">
        <f>SUM(F98:F99)</f>
        <v>34.392000000000003</v>
      </c>
      <c r="G100" s="29"/>
      <c r="H100" s="30"/>
    </row>
    <row r="101" spans="1:17">
      <c r="A101" s="34"/>
      <c r="B101" s="43"/>
      <c r="C101" s="36"/>
      <c r="D101" s="37"/>
      <c r="E101" s="38"/>
      <c r="F101" s="39"/>
      <c r="G101" s="40"/>
      <c r="H101" s="64"/>
    </row>
    <row r="102" spans="1:17">
      <c r="A102" s="34">
        <f>MAX(A$1:A101)+1</f>
        <v>16</v>
      </c>
      <c r="B102" s="73"/>
      <c r="C102" s="36" t="s">
        <v>769</v>
      </c>
      <c r="D102" s="37"/>
      <c r="E102" s="38" t="s">
        <v>770</v>
      </c>
      <c r="F102" s="39"/>
      <c r="G102" s="40" t="s">
        <v>15</v>
      </c>
      <c r="H102" s="64">
        <v>0.41</v>
      </c>
    </row>
    <row r="103" spans="1:17" s="98" customFormat="1">
      <c r="A103" s="95"/>
      <c r="B103" s="35"/>
      <c r="C103" s="93"/>
      <c r="D103" s="67" t="s">
        <v>771</v>
      </c>
      <c r="E103" s="71" t="s">
        <v>772</v>
      </c>
      <c r="F103" s="61"/>
      <c r="G103" s="62" t="s">
        <v>15</v>
      </c>
      <c r="H103" s="83">
        <v>0.41</v>
      </c>
      <c r="I103"/>
      <c r="J103"/>
      <c r="K103"/>
      <c r="L103"/>
      <c r="Q103"/>
    </row>
    <row r="104" spans="1:17">
      <c r="A104" s="34"/>
      <c r="B104" s="31"/>
      <c r="C104" s="31"/>
      <c r="D104" s="32"/>
      <c r="E104" s="77" t="s">
        <v>601</v>
      </c>
      <c r="F104" s="81"/>
      <c r="G104" s="29"/>
      <c r="H104" s="30"/>
    </row>
    <row r="105" spans="1:17">
      <c r="A105" s="34"/>
      <c r="B105" s="31"/>
      <c r="C105" s="31"/>
      <c r="D105" s="32"/>
      <c r="E105" s="77" t="s">
        <v>2150</v>
      </c>
      <c r="F105" s="81">
        <f>0.1*2.75</f>
        <v>0.27500000000000002</v>
      </c>
      <c r="G105" s="29"/>
      <c r="H105" s="30"/>
    </row>
    <row r="106" spans="1:17">
      <c r="A106" s="34"/>
      <c r="B106" s="73"/>
      <c r="C106" s="36"/>
      <c r="D106" s="66"/>
      <c r="E106" s="77" t="s">
        <v>2151</v>
      </c>
      <c r="F106" s="133">
        <f>0.1*1.34</f>
        <v>0.13400000000000001</v>
      </c>
      <c r="G106" s="40"/>
      <c r="H106" s="64"/>
    </row>
    <row r="107" spans="1:17">
      <c r="A107" s="34"/>
      <c r="B107" s="73"/>
      <c r="C107" s="36"/>
      <c r="D107" s="66"/>
      <c r="E107" s="77"/>
      <c r="F107" s="81">
        <f>SUM(F105:F106)</f>
        <v>0.40900000000000003</v>
      </c>
      <c r="G107" s="40"/>
      <c r="H107" s="64"/>
    </row>
    <row r="108" spans="1:17">
      <c r="A108" s="169"/>
      <c r="B108" s="31"/>
      <c r="C108" s="31"/>
      <c r="D108" s="32"/>
      <c r="E108" s="65"/>
      <c r="F108" s="170"/>
      <c r="G108" s="29"/>
      <c r="H108" s="30"/>
    </row>
    <row r="109" spans="1:17">
      <c r="A109" s="169"/>
      <c r="B109" s="35" t="s">
        <v>103</v>
      </c>
      <c r="C109" s="35"/>
      <c r="D109" s="94"/>
      <c r="E109" s="50" t="s">
        <v>104</v>
      </c>
      <c r="F109" s="171"/>
      <c r="G109" s="29"/>
      <c r="H109" s="30"/>
    </row>
    <row r="110" spans="1:17">
      <c r="A110" s="169"/>
      <c r="B110" s="35"/>
      <c r="C110" s="35"/>
      <c r="D110" s="94"/>
      <c r="E110" s="50"/>
      <c r="F110" s="171"/>
      <c r="G110" s="29"/>
      <c r="H110" s="30"/>
    </row>
    <row r="111" spans="1:17">
      <c r="A111" s="34">
        <f>MAX(A$1:A110)+1</f>
        <v>17</v>
      </c>
      <c r="B111" s="35"/>
      <c r="C111" s="36" t="s">
        <v>2152</v>
      </c>
      <c r="D111" s="37"/>
      <c r="E111" s="38" t="s">
        <v>2153</v>
      </c>
      <c r="F111" s="39"/>
      <c r="G111" s="40" t="s">
        <v>21</v>
      </c>
      <c r="H111" s="128">
        <v>38.14</v>
      </c>
    </row>
    <row r="112" spans="1:17">
      <c r="A112" s="169"/>
      <c r="B112" s="35"/>
      <c r="C112" s="35"/>
      <c r="D112" s="94"/>
      <c r="E112" s="65" t="s">
        <v>2154</v>
      </c>
      <c r="F112" s="172">
        <f>1.26*19</f>
        <v>23.94</v>
      </c>
      <c r="G112" s="29"/>
      <c r="H112" s="30"/>
    </row>
    <row r="113" spans="1:17" ht="25.5">
      <c r="A113" s="169"/>
      <c r="B113" s="35"/>
      <c r="C113" s="35"/>
      <c r="D113" s="94"/>
      <c r="E113" s="65" t="s">
        <v>2155</v>
      </c>
      <c r="F113" s="172">
        <f>1.5*1.5*4</f>
        <v>9</v>
      </c>
      <c r="G113" s="29"/>
      <c r="H113" s="30"/>
    </row>
    <row r="114" spans="1:17">
      <c r="A114" s="169"/>
      <c r="B114" s="35"/>
      <c r="C114" s="35"/>
      <c r="D114" s="94"/>
      <c r="E114" s="65" t="s">
        <v>2156</v>
      </c>
      <c r="F114" s="240">
        <f>1.3*4</f>
        <v>5.2</v>
      </c>
      <c r="G114" s="29"/>
      <c r="H114" s="30"/>
    </row>
    <row r="115" spans="1:17">
      <c r="A115" s="169"/>
      <c r="B115" s="35"/>
      <c r="C115" s="35"/>
      <c r="D115" s="94"/>
      <c r="E115" s="65"/>
      <c r="F115" s="172">
        <f>SUM(F112:F114)</f>
        <v>38.14</v>
      </c>
      <c r="G115" s="29"/>
      <c r="H115" s="30"/>
    </row>
    <row r="116" spans="1:17">
      <c r="A116" s="34"/>
      <c r="B116" s="43"/>
      <c r="C116" s="36"/>
      <c r="D116" s="37"/>
      <c r="E116" s="38"/>
      <c r="F116" s="39"/>
      <c r="G116" s="40"/>
      <c r="H116" s="64"/>
    </row>
    <row r="117" spans="1:17">
      <c r="A117" s="34">
        <f>MAX(A$1:A116)+1</f>
        <v>18</v>
      </c>
      <c r="B117" s="73"/>
      <c r="C117" s="36" t="s">
        <v>422</v>
      </c>
      <c r="D117" s="37"/>
      <c r="E117" s="38" t="s">
        <v>423</v>
      </c>
      <c r="F117" s="39"/>
      <c r="G117" s="40" t="s">
        <v>21</v>
      </c>
      <c r="H117" s="64">
        <v>41.519999999999996</v>
      </c>
    </row>
    <row r="118" spans="1:17" ht="25.5">
      <c r="A118" s="169"/>
      <c r="B118" s="31"/>
      <c r="C118" s="66"/>
      <c r="D118" s="67" t="s">
        <v>424</v>
      </c>
      <c r="E118" s="71" t="s">
        <v>425</v>
      </c>
      <c r="F118" s="61"/>
      <c r="G118" s="62" t="s">
        <v>21</v>
      </c>
      <c r="H118" s="124">
        <v>41.519999999999996</v>
      </c>
    </row>
    <row r="119" spans="1:17" ht="38.25">
      <c r="A119" s="169"/>
      <c r="B119" s="31"/>
      <c r="C119" s="31"/>
      <c r="D119" s="32"/>
      <c r="E119" s="77" t="s">
        <v>2157</v>
      </c>
      <c r="F119" s="172">
        <f>24*1.73</f>
        <v>41.519999999999996</v>
      </c>
      <c r="G119" s="29"/>
      <c r="H119" s="30"/>
    </row>
    <row r="120" spans="1:17">
      <c r="A120" s="169"/>
      <c r="B120" s="31"/>
      <c r="C120" s="31"/>
      <c r="D120" s="32"/>
      <c r="E120" s="77"/>
      <c r="F120" s="240"/>
      <c r="G120" s="29"/>
      <c r="H120" s="30"/>
    </row>
    <row r="121" spans="1:17">
      <c r="A121" s="34">
        <f>MAX(A$1:A120)+1</f>
        <v>19</v>
      </c>
      <c r="B121" s="31"/>
      <c r="C121" s="36" t="s">
        <v>566</v>
      </c>
      <c r="D121" s="37"/>
      <c r="E121" s="38" t="s">
        <v>567</v>
      </c>
      <c r="F121" s="39"/>
      <c r="G121" s="40" t="s">
        <v>21</v>
      </c>
      <c r="H121" s="64">
        <v>7.34</v>
      </c>
    </row>
    <row r="122" spans="1:17">
      <c r="A122" s="169"/>
      <c r="B122" s="31"/>
      <c r="C122" s="66"/>
      <c r="D122" s="67" t="s">
        <v>568</v>
      </c>
      <c r="E122" s="71" t="s">
        <v>569</v>
      </c>
      <c r="F122" s="61"/>
      <c r="G122" s="62" t="s">
        <v>21</v>
      </c>
      <c r="H122" s="124">
        <v>7.34</v>
      </c>
    </row>
    <row r="123" spans="1:17" ht="25.5">
      <c r="A123" s="169"/>
      <c r="B123" s="31"/>
      <c r="C123" s="66"/>
      <c r="D123" s="67"/>
      <c r="E123" s="65" t="s">
        <v>2158</v>
      </c>
      <c r="F123" s="46">
        <f>1.3*2*1</f>
        <v>2.6</v>
      </c>
      <c r="G123" s="62"/>
      <c r="H123" s="30"/>
    </row>
    <row r="124" spans="1:17">
      <c r="A124" s="169"/>
      <c r="B124" s="31"/>
      <c r="C124" s="66"/>
      <c r="D124" s="67"/>
      <c r="E124" s="65" t="s">
        <v>2159</v>
      </c>
      <c r="F124" s="225">
        <f>3*1.58*1</f>
        <v>4.74</v>
      </c>
      <c r="G124" s="62"/>
      <c r="H124" s="30"/>
    </row>
    <row r="125" spans="1:17">
      <c r="A125" s="169"/>
      <c r="B125" s="31"/>
      <c r="C125" s="66"/>
      <c r="D125" s="67"/>
      <c r="E125" s="71"/>
      <c r="F125" s="46">
        <f>SUM(F123:F124)</f>
        <v>7.34</v>
      </c>
      <c r="G125" s="62"/>
      <c r="H125" s="30"/>
    </row>
    <row r="126" spans="1:17">
      <c r="A126" s="179"/>
      <c r="B126" s="31"/>
      <c r="C126" s="31"/>
      <c r="D126" s="67"/>
      <c r="E126" s="65"/>
      <c r="F126" s="172"/>
      <c r="G126" s="62"/>
      <c r="H126" s="83"/>
    </row>
    <row r="127" spans="1:17" ht="15.75" thickBot="1">
      <c r="A127" s="200"/>
      <c r="B127" s="201"/>
      <c r="C127" s="202"/>
      <c r="D127" s="203"/>
      <c r="E127" s="204"/>
      <c r="F127" s="205"/>
      <c r="G127" s="206"/>
      <c r="H127" s="207"/>
    </row>
    <row r="128" spans="1:17">
      <c r="Q128" s="717"/>
    </row>
    <row r="131" spans="5:5" ht="25.5">
      <c r="E131" s="718"/>
    </row>
  </sheetData>
  <sheetProtection algorithmName="SHA-512" hashValue="r8U9tf5hfRJfijdK/Gx1u5SjOCy9PMsRdttBg8ZRD1KLjf5n6F06UPlQrqJUEOYKtOrWPcic3TWzzPcFKIsU/A==" saltValue="Vd2mfpF6kcDXXM4Is7y6g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1D408-1A65-4D6F-AD6D-DD27CA5E706B}">
  <sheetPr codeName="Hárok16"/>
  <dimension ref="A1:Q126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2161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2223</v>
      </c>
      <c r="G2" s="11"/>
      <c r="H2" s="12"/>
    </row>
    <row r="3" spans="1:8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 ht="25.5">
      <c r="A8" s="34">
        <f>MAX(A$1:A6)+1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0.11</v>
      </c>
    </row>
    <row r="9" spans="1:8">
      <c r="A9" s="145"/>
      <c r="B9" s="31"/>
      <c r="C9" s="36"/>
      <c r="D9" s="37"/>
      <c r="E9" s="38"/>
      <c r="F9" s="46">
        <f>F22</f>
        <v>0.10500000000000001</v>
      </c>
      <c r="G9" s="40"/>
      <c r="H9" s="30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2.94</v>
      </c>
    </row>
    <row r="12" spans="1:8">
      <c r="A12" s="145"/>
      <c r="B12" s="31"/>
      <c r="C12" s="36"/>
      <c r="D12" s="37"/>
      <c r="E12" s="38"/>
      <c r="F12" s="90">
        <f>F44</f>
        <v>2.9402879999999998</v>
      </c>
      <c r="G12" s="40"/>
      <c r="H12" s="30"/>
    </row>
    <row r="13" spans="1:8">
      <c r="A13" s="268"/>
      <c r="B13" s="31"/>
      <c r="C13" s="31"/>
      <c r="D13" s="32"/>
      <c r="E13" s="33"/>
      <c r="F13" s="28"/>
      <c r="G13" s="29"/>
      <c r="H13" s="30"/>
    </row>
    <row r="14" spans="1:8" ht="15.75">
      <c r="A14" s="268"/>
      <c r="B14" s="24" t="s">
        <v>19</v>
      </c>
      <c r="C14" s="48"/>
      <c r="D14" s="49"/>
      <c r="E14" s="50" t="s">
        <v>20</v>
      </c>
      <c r="F14" s="28"/>
      <c r="G14" s="29"/>
      <c r="H14" s="30"/>
    </row>
    <row r="15" spans="1:8" ht="15.75">
      <c r="A15" s="268"/>
      <c r="B15" s="24"/>
      <c r="C15" s="48"/>
      <c r="D15" s="49"/>
      <c r="E15" s="50"/>
      <c r="F15" s="28"/>
      <c r="G15" s="29"/>
      <c r="H15" s="30"/>
    </row>
    <row r="16" spans="1:8" ht="25.5">
      <c r="A16" s="34">
        <f>MAX(A$1:A14)+1</f>
        <v>3</v>
      </c>
      <c r="B16" s="24"/>
      <c r="C16" s="36" t="s">
        <v>535</v>
      </c>
      <c r="D16" s="37"/>
      <c r="E16" s="38" t="s">
        <v>536</v>
      </c>
      <c r="F16" s="39"/>
      <c r="G16" s="40" t="s">
        <v>36</v>
      </c>
      <c r="H16" s="128">
        <v>3</v>
      </c>
    </row>
    <row r="17" spans="1:17" ht="25.5">
      <c r="A17" s="268"/>
      <c r="B17" s="24"/>
      <c r="C17" s="36"/>
      <c r="D17" s="67" t="s">
        <v>2162</v>
      </c>
      <c r="E17" s="71" t="s">
        <v>2163</v>
      </c>
      <c r="F17" s="61"/>
      <c r="G17" s="62" t="s">
        <v>36</v>
      </c>
      <c r="H17" s="124">
        <v>3</v>
      </c>
    </row>
    <row r="18" spans="1:17" ht="38.25">
      <c r="A18" s="268"/>
      <c r="B18" s="24"/>
      <c r="C18" s="36"/>
      <c r="D18" s="37"/>
      <c r="E18" s="65" t="s">
        <v>2164</v>
      </c>
      <c r="F18" s="46">
        <v>3</v>
      </c>
      <c r="G18" s="40"/>
      <c r="H18" s="30"/>
    </row>
    <row r="19" spans="1:17">
      <c r="A19" s="268"/>
      <c r="B19" s="31"/>
      <c r="C19" s="31"/>
      <c r="D19" s="32"/>
      <c r="E19" s="33"/>
      <c r="F19" s="28"/>
      <c r="G19" s="29"/>
      <c r="H19" s="30"/>
    </row>
    <row r="20" spans="1:17">
      <c r="A20" s="34">
        <f>MAX(A$1:A18)+1</f>
        <v>4</v>
      </c>
      <c r="B20" s="31"/>
      <c r="C20" s="36" t="s">
        <v>37</v>
      </c>
      <c r="D20" s="37"/>
      <c r="E20" s="38" t="s">
        <v>38</v>
      </c>
      <c r="F20" s="39"/>
      <c r="G20" s="40" t="s">
        <v>15</v>
      </c>
      <c r="H20" s="128">
        <v>0.11</v>
      </c>
    </row>
    <row r="21" spans="1:17">
      <c r="A21" s="268"/>
      <c r="B21" s="31"/>
      <c r="C21" s="66"/>
      <c r="D21" s="67" t="s">
        <v>39</v>
      </c>
      <c r="E21" s="71" t="s">
        <v>40</v>
      </c>
      <c r="F21" s="61"/>
      <c r="G21" s="62" t="s">
        <v>15</v>
      </c>
      <c r="H21" s="124">
        <v>0.11</v>
      </c>
    </row>
    <row r="22" spans="1:17" ht="25.5">
      <c r="A22" s="268"/>
      <c r="B22" s="31"/>
      <c r="C22" s="66"/>
      <c r="D22" s="67"/>
      <c r="E22" s="65" t="s">
        <v>2165</v>
      </c>
      <c r="F22" s="46">
        <f>F18*0.035</f>
        <v>0.10500000000000001</v>
      </c>
      <c r="G22" s="62"/>
      <c r="H22" s="30"/>
    </row>
    <row r="23" spans="1:17">
      <c r="A23" s="268"/>
      <c r="B23" s="31"/>
      <c r="C23" s="66"/>
      <c r="D23" s="67"/>
      <c r="E23" s="71"/>
      <c r="F23" s="61"/>
      <c r="G23" s="62"/>
      <c r="H23" s="30"/>
    </row>
    <row r="24" spans="1:17" s="98" customFormat="1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  <c r="I24"/>
      <c r="J24"/>
      <c r="K24"/>
      <c r="L24"/>
      <c r="Q24"/>
    </row>
    <row r="25" spans="1:17" s="98" customFormat="1">
      <c r="A25" s="95"/>
      <c r="B25" s="35"/>
      <c r="C25" s="93"/>
      <c r="D25" s="94"/>
      <c r="E25" s="50"/>
      <c r="F25" s="100"/>
      <c r="G25" s="101"/>
      <c r="H25" s="42"/>
      <c r="I25"/>
      <c r="J25"/>
      <c r="K25"/>
      <c r="L25"/>
      <c r="Q25"/>
    </row>
    <row r="26" spans="1:17">
      <c r="A26" s="34">
        <f>MAX(A$1:A24)+1</f>
        <v>5</v>
      </c>
      <c r="B26" s="43"/>
      <c r="C26" s="36" t="s">
        <v>143</v>
      </c>
      <c r="D26" s="37"/>
      <c r="E26" s="38" t="s">
        <v>144</v>
      </c>
      <c r="F26" s="39"/>
      <c r="G26" s="40" t="s">
        <v>145</v>
      </c>
      <c r="H26" s="64">
        <v>40</v>
      </c>
    </row>
    <row r="27" spans="1:17" ht="25.5">
      <c r="A27" s="72"/>
      <c r="B27" s="152"/>
      <c r="C27" s="153"/>
      <c r="D27" s="67" t="s">
        <v>146</v>
      </c>
      <c r="E27" s="71" t="s">
        <v>147</v>
      </c>
      <c r="F27" s="61"/>
      <c r="G27" s="62" t="s">
        <v>145</v>
      </c>
      <c r="H27" s="83">
        <v>40</v>
      </c>
    </row>
    <row r="28" spans="1:17" s="98" customFormat="1">
      <c r="A28" s="95"/>
      <c r="B28" s="35"/>
      <c r="C28" s="93"/>
      <c r="D28" s="94"/>
      <c r="E28" s="65" t="s">
        <v>549</v>
      </c>
      <c r="F28" s="212">
        <v>40</v>
      </c>
      <c r="G28" s="101"/>
      <c r="H28" s="42"/>
      <c r="I28"/>
      <c r="J28"/>
      <c r="K28"/>
      <c r="L28"/>
      <c r="Q28"/>
    </row>
    <row r="29" spans="1:17" s="98" customFormat="1">
      <c r="A29" s="95"/>
      <c r="B29" s="35"/>
      <c r="C29" s="93"/>
      <c r="D29" s="94"/>
      <c r="E29" s="50"/>
      <c r="F29" s="100"/>
      <c r="G29" s="101"/>
      <c r="H29" s="42"/>
      <c r="I29"/>
      <c r="J29"/>
      <c r="K29"/>
      <c r="L29"/>
      <c r="Q29"/>
    </row>
    <row r="30" spans="1:17" ht="25.5">
      <c r="A30" s="34">
        <f>MAX(A$1:A29)+1</f>
        <v>6</v>
      </c>
      <c r="B30" s="152"/>
      <c r="C30" s="36" t="s">
        <v>148</v>
      </c>
      <c r="D30" s="37"/>
      <c r="E30" s="38" t="s">
        <v>149</v>
      </c>
      <c r="F30" s="39"/>
      <c r="G30" s="40" t="s">
        <v>36</v>
      </c>
      <c r="H30" s="64">
        <v>50</v>
      </c>
    </row>
    <row r="31" spans="1:17" ht="25.5">
      <c r="A31" s="72"/>
      <c r="B31" s="152"/>
      <c r="C31" s="153"/>
      <c r="D31" s="67" t="s">
        <v>517</v>
      </c>
      <c r="E31" s="71" t="s">
        <v>518</v>
      </c>
      <c r="F31" s="61"/>
      <c r="G31" s="62" t="s">
        <v>36</v>
      </c>
      <c r="H31" s="83">
        <v>50</v>
      </c>
    </row>
    <row r="32" spans="1:17" s="98" customFormat="1">
      <c r="A32" s="95"/>
      <c r="B32" s="35"/>
      <c r="C32" s="93"/>
      <c r="D32" s="94"/>
      <c r="E32" s="65" t="s">
        <v>539</v>
      </c>
      <c r="F32" s="224">
        <v>50</v>
      </c>
      <c r="G32" s="101"/>
      <c r="H32" s="42"/>
      <c r="I32"/>
      <c r="J32"/>
      <c r="K32"/>
      <c r="L32"/>
      <c r="Q32"/>
    </row>
    <row r="33" spans="1:17" s="98" customFormat="1">
      <c r="A33" s="95"/>
      <c r="B33" s="35"/>
      <c r="C33" s="93"/>
      <c r="D33" s="94"/>
      <c r="E33" s="65"/>
      <c r="F33" s="212"/>
      <c r="G33" s="101"/>
      <c r="H33" s="42"/>
      <c r="I33"/>
      <c r="J33"/>
      <c r="K33"/>
      <c r="L33"/>
      <c r="Q33"/>
    </row>
    <row r="34" spans="1:17">
      <c r="A34" s="34">
        <f>MAX(A$1:A33)+1</f>
        <v>7</v>
      </c>
      <c r="B34" s="43"/>
      <c r="C34" s="36" t="s">
        <v>154</v>
      </c>
      <c r="D34" s="37"/>
      <c r="E34" s="38" t="s">
        <v>155</v>
      </c>
      <c r="F34" s="39"/>
      <c r="G34" s="40" t="s">
        <v>18</v>
      </c>
      <c r="H34" s="52">
        <v>3.33</v>
      </c>
    </row>
    <row r="35" spans="1:17">
      <c r="A35" s="72"/>
      <c r="B35" s="73"/>
      <c r="C35" s="66"/>
      <c r="D35" s="67" t="s">
        <v>156</v>
      </c>
      <c r="E35" s="71" t="s">
        <v>157</v>
      </c>
      <c r="F35" s="61"/>
      <c r="G35" s="62" t="s">
        <v>18</v>
      </c>
      <c r="H35" s="99">
        <v>3.33</v>
      </c>
    </row>
    <row r="36" spans="1:17" ht="25.5">
      <c r="A36" s="72"/>
      <c r="B36" s="73"/>
      <c r="C36" s="66"/>
      <c r="D36" s="67"/>
      <c r="E36" s="65" t="s">
        <v>2166</v>
      </c>
      <c r="F36" s="46">
        <f>(1.5*1.5*1.98)-(1.5*1.5*0.5)</f>
        <v>3.33</v>
      </c>
      <c r="G36" s="62"/>
      <c r="H36" s="99"/>
    </row>
    <row r="37" spans="1:17">
      <c r="A37" s="72"/>
      <c r="B37" s="73"/>
      <c r="C37" s="66"/>
      <c r="D37" s="67"/>
      <c r="E37" s="65"/>
      <c r="F37" s="69"/>
      <c r="G37" s="62"/>
      <c r="H37" s="99"/>
    </row>
    <row r="38" spans="1:17">
      <c r="A38" s="34">
        <f>MAX(A$1:A37)+1</f>
        <v>8</v>
      </c>
      <c r="B38" s="43"/>
      <c r="C38" s="36" t="s">
        <v>162</v>
      </c>
      <c r="D38" s="37"/>
      <c r="E38" s="38" t="s">
        <v>163</v>
      </c>
      <c r="F38" s="39"/>
      <c r="G38" s="40" t="s">
        <v>18</v>
      </c>
      <c r="H38" s="64">
        <v>4.03</v>
      </c>
    </row>
    <row r="39" spans="1:17">
      <c r="A39" s="72"/>
      <c r="B39" s="73"/>
      <c r="C39" s="66"/>
      <c r="D39" s="67" t="s">
        <v>164</v>
      </c>
      <c r="E39" s="71" t="s">
        <v>165</v>
      </c>
      <c r="F39" s="61"/>
      <c r="G39" s="62" t="s">
        <v>18</v>
      </c>
      <c r="H39" s="83">
        <v>4.03</v>
      </c>
    </row>
    <row r="40" spans="1:17" s="111" customFormat="1" ht="25.5">
      <c r="A40" s="179"/>
      <c r="B40" s="256"/>
      <c r="C40" s="79"/>
      <c r="D40" s="67"/>
      <c r="E40" s="77" t="s">
        <v>2167</v>
      </c>
      <c r="F40" s="231">
        <f>(1.65*1*3.5)-(0.5*1*3.5)</f>
        <v>4.0249999999999995</v>
      </c>
      <c r="G40" s="62"/>
      <c r="H40" s="246"/>
      <c r="Q40"/>
    </row>
    <row r="41" spans="1:17" s="111" customFormat="1">
      <c r="A41" s="179"/>
      <c r="B41" s="256"/>
      <c r="C41" s="79"/>
      <c r="D41" s="67"/>
      <c r="E41" s="77"/>
      <c r="F41" s="81"/>
      <c r="G41" s="62"/>
      <c r="H41" s="246"/>
      <c r="Q41"/>
    </row>
    <row r="42" spans="1:17">
      <c r="A42" s="34">
        <f>MAX(A$1:A41)+1</f>
        <v>9</v>
      </c>
      <c r="B42" s="43"/>
      <c r="C42" s="36" t="s">
        <v>58</v>
      </c>
      <c r="D42" s="37"/>
      <c r="E42" s="38" t="s">
        <v>59</v>
      </c>
      <c r="F42" s="39"/>
      <c r="G42" s="40" t="s">
        <v>18</v>
      </c>
      <c r="H42" s="258">
        <v>2.94</v>
      </c>
    </row>
    <row r="43" spans="1:17">
      <c r="A43" s="72"/>
      <c r="B43" s="73"/>
      <c r="C43" s="66"/>
      <c r="D43" s="67" t="s">
        <v>60</v>
      </c>
      <c r="E43" s="71" t="s">
        <v>61</v>
      </c>
      <c r="F43" s="61"/>
      <c r="G43" s="62" t="s">
        <v>18</v>
      </c>
      <c r="H43" s="259">
        <v>2.94</v>
      </c>
    </row>
    <row r="44" spans="1:17" s="98" customFormat="1">
      <c r="A44" s="95"/>
      <c r="B44" s="35"/>
      <c r="C44" s="93"/>
      <c r="D44" s="94"/>
      <c r="E44" s="77" t="s">
        <v>2168</v>
      </c>
      <c r="F44" s="104">
        <f>F76</f>
        <v>2.9402879999999998</v>
      </c>
      <c r="G44" s="97"/>
      <c r="H44" s="83"/>
      <c r="I44"/>
      <c r="J44"/>
      <c r="K44"/>
      <c r="L44"/>
      <c r="Q44"/>
    </row>
    <row r="45" spans="1:17" s="98" customFormat="1">
      <c r="A45" s="95"/>
      <c r="B45" s="35"/>
      <c r="C45" s="93"/>
      <c r="D45" s="94"/>
      <c r="E45" s="65"/>
      <c r="F45" s="229"/>
      <c r="G45" s="97"/>
      <c r="H45" s="42"/>
      <c r="I45"/>
      <c r="J45"/>
      <c r="K45"/>
      <c r="L45"/>
      <c r="Q45"/>
    </row>
    <row r="46" spans="1:17">
      <c r="A46" s="34">
        <f>MAX(A$1:A45)+1</f>
        <v>10</v>
      </c>
      <c r="B46" s="43"/>
      <c r="C46" s="36" t="s">
        <v>78</v>
      </c>
      <c r="D46" s="37"/>
      <c r="E46" s="38" t="s">
        <v>79</v>
      </c>
      <c r="F46" s="39"/>
      <c r="G46" s="40" t="s">
        <v>18</v>
      </c>
      <c r="H46" s="64">
        <v>4.41</v>
      </c>
    </row>
    <row r="47" spans="1:17" s="111" customFormat="1">
      <c r="A47" s="179"/>
      <c r="B47" s="256"/>
      <c r="C47" s="79"/>
      <c r="D47" s="67" t="s">
        <v>80</v>
      </c>
      <c r="E47" s="71" t="s">
        <v>81</v>
      </c>
      <c r="F47" s="61"/>
      <c r="G47" s="62" t="s">
        <v>18</v>
      </c>
      <c r="H47" s="124">
        <v>4.41</v>
      </c>
      <c r="Q47"/>
    </row>
    <row r="48" spans="1:17" s="111" customFormat="1">
      <c r="A48" s="179"/>
      <c r="B48" s="256"/>
      <c r="C48" s="79"/>
      <c r="D48" s="67"/>
      <c r="E48" s="121" t="s">
        <v>2169</v>
      </c>
      <c r="F48" s="231"/>
      <c r="G48" s="62"/>
      <c r="H48" s="246"/>
      <c r="Q48"/>
    </row>
    <row r="49" spans="1:17" s="111" customFormat="1">
      <c r="A49" s="179"/>
      <c r="B49" s="256"/>
      <c r="C49" s="79"/>
      <c r="D49" s="67"/>
      <c r="E49" s="77" t="s">
        <v>519</v>
      </c>
      <c r="F49" s="231">
        <f>F40</f>
        <v>4.0249999999999995</v>
      </c>
      <c r="G49" s="62"/>
      <c r="H49" s="246"/>
      <c r="Q49"/>
    </row>
    <row r="50" spans="1:17" s="111" customFormat="1">
      <c r="A50" s="179"/>
      <c r="B50" s="256"/>
      <c r="C50" s="79"/>
      <c r="D50" s="67"/>
      <c r="E50" s="77" t="s">
        <v>169</v>
      </c>
      <c r="F50" s="231">
        <f>-F122</f>
        <v>-0.52500000000000002</v>
      </c>
      <c r="G50" s="62"/>
      <c r="H50" s="246"/>
      <c r="Q50"/>
    </row>
    <row r="51" spans="1:17" s="111" customFormat="1">
      <c r="A51" s="179"/>
      <c r="B51" s="256"/>
      <c r="C51" s="79"/>
      <c r="D51" s="67"/>
      <c r="E51" s="77" t="s">
        <v>520</v>
      </c>
      <c r="F51" s="231">
        <f>-F65</f>
        <v>-1.6870210000000001</v>
      </c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2170</v>
      </c>
      <c r="F52" s="257">
        <f>-0.11*0.11*3.14*3.5</f>
        <v>-0.13297900000000001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/>
      <c r="F53" s="231">
        <f>SUM(F49:F52)</f>
        <v>1.6799999999999995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77"/>
      <c r="F54" s="231"/>
      <c r="G54" s="62"/>
      <c r="H54" s="246"/>
      <c r="Q54"/>
    </row>
    <row r="55" spans="1:17" s="111" customFormat="1">
      <c r="A55" s="179"/>
      <c r="B55" s="256"/>
      <c r="C55" s="79"/>
      <c r="D55" s="67"/>
      <c r="E55" s="121" t="s">
        <v>2171</v>
      </c>
      <c r="F55" s="231"/>
      <c r="G55" s="62"/>
      <c r="H55" s="246"/>
      <c r="Q55"/>
    </row>
    <row r="56" spans="1:17" s="111" customFormat="1">
      <c r="A56" s="179"/>
      <c r="B56" s="256"/>
      <c r="C56" s="79"/>
      <c r="D56" s="67"/>
      <c r="E56" s="77" t="s">
        <v>66</v>
      </c>
      <c r="F56" s="231">
        <f>F36</f>
        <v>3.33</v>
      </c>
      <c r="G56" s="62"/>
      <c r="H56" s="246"/>
      <c r="Q56"/>
    </row>
    <row r="57" spans="1:17" s="111" customFormat="1">
      <c r="A57" s="179"/>
      <c r="B57" s="256"/>
      <c r="C57" s="79"/>
      <c r="D57" s="67"/>
      <c r="E57" s="77" t="s">
        <v>2172</v>
      </c>
      <c r="F57" s="231">
        <f>-(0.3*0.3*3.14*1.88)</f>
        <v>-0.53128799999999998</v>
      </c>
      <c r="G57" s="62"/>
      <c r="H57" s="246"/>
      <c r="Q57"/>
    </row>
    <row r="58" spans="1:17" s="111" customFormat="1">
      <c r="A58" s="179"/>
      <c r="B58" s="256"/>
      <c r="C58" s="79"/>
      <c r="D58" s="67"/>
      <c r="E58" s="77" t="s">
        <v>521</v>
      </c>
      <c r="F58" s="257">
        <f>-F93</f>
        <v>-6.4000000000000015E-2</v>
      </c>
      <c r="G58" s="62"/>
      <c r="H58" s="246"/>
      <c r="Q58"/>
    </row>
    <row r="59" spans="1:17" s="111" customFormat="1">
      <c r="A59" s="179"/>
      <c r="B59" s="256"/>
      <c r="C59" s="79"/>
      <c r="D59" s="67"/>
      <c r="E59" s="77"/>
      <c r="F59" s="231">
        <f>SUM(F56:F58)</f>
        <v>2.734712</v>
      </c>
      <c r="G59" s="62"/>
      <c r="H59" s="246"/>
      <c r="Q59"/>
    </row>
    <row r="60" spans="1:17" s="111" customFormat="1">
      <c r="A60" s="179"/>
      <c r="B60" s="256"/>
      <c r="C60" s="79"/>
      <c r="D60" s="67"/>
      <c r="E60" s="91" t="s">
        <v>41</v>
      </c>
      <c r="F60" s="151">
        <f>F53+F59</f>
        <v>4.4147119999999997</v>
      </c>
      <c r="G60" s="62"/>
      <c r="H60" s="246"/>
      <c r="Q60"/>
    </row>
    <row r="61" spans="1:17" s="111" customFormat="1">
      <c r="A61" s="179"/>
      <c r="B61" s="256"/>
      <c r="C61" s="79"/>
      <c r="D61" s="67"/>
      <c r="E61" s="77"/>
      <c r="F61" s="231"/>
      <c r="G61" s="62"/>
      <c r="H61" s="246"/>
      <c r="Q61"/>
    </row>
    <row r="62" spans="1:17">
      <c r="A62" s="34">
        <f>MAX(A$1:A61)+1</f>
        <v>11</v>
      </c>
      <c r="B62" s="43"/>
      <c r="C62" s="36" t="s">
        <v>170</v>
      </c>
      <c r="D62" s="37"/>
      <c r="E62" s="38" t="s">
        <v>171</v>
      </c>
      <c r="F62" s="39"/>
      <c r="G62" s="40" t="s">
        <v>18</v>
      </c>
      <c r="H62" s="52">
        <v>1.69</v>
      </c>
    </row>
    <row r="63" spans="1:17">
      <c r="A63" s="72"/>
      <c r="B63" s="73"/>
      <c r="C63" s="66"/>
      <c r="D63" s="67" t="s">
        <v>522</v>
      </c>
      <c r="E63" s="71" t="s">
        <v>523</v>
      </c>
      <c r="F63" s="61"/>
      <c r="G63" s="62" t="s">
        <v>18</v>
      </c>
      <c r="H63" s="99">
        <v>1.69</v>
      </c>
    </row>
    <row r="64" spans="1:17" s="111" customFormat="1">
      <c r="A64" s="179"/>
      <c r="B64" s="256"/>
      <c r="C64" s="79"/>
      <c r="D64" s="67"/>
      <c r="E64" s="121" t="s">
        <v>524</v>
      </c>
      <c r="F64" s="231"/>
      <c r="G64" s="62"/>
      <c r="H64" s="246"/>
      <c r="Q64"/>
    </row>
    <row r="65" spans="1:17" s="111" customFormat="1">
      <c r="A65" s="179"/>
      <c r="B65" s="256"/>
      <c r="C65" s="79"/>
      <c r="D65" s="67"/>
      <c r="E65" s="77" t="s">
        <v>2173</v>
      </c>
      <c r="F65" s="231">
        <f>(0.52*1*3.5)-(0.11*0.11*3.14*3.5)</f>
        <v>1.6870210000000001</v>
      </c>
      <c r="G65" s="62"/>
      <c r="H65" s="246"/>
      <c r="Q65"/>
    </row>
    <row r="66" spans="1:17" s="111" customFormat="1">
      <c r="A66" s="179"/>
      <c r="B66" s="256"/>
      <c r="C66" s="79"/>
      <c r="D66" s="67"/>
      <c r="E66" s="77"/>
      <c r="F66" s="231"/>
      <c r="G66" s="62"/>
      <c r="H66" s="246"/>
      <c r="Q66"/>
    </row>
    <row r="67" spans="1:17">
      <c r="A67" s="34">
        <f>MAX(A$1:A66)+1</f>
        <v>12</v>
      </c>
      <c r="B67" s="43"/>
      <c r="C67" s="36" t="s">
        <v>175</v>
      </c>
      <c r="D67" s="37"/>
      <c r="E67" s="38" t="s">
        <v>176</v>
      </c>
      <c r="F67" s="39"/>
      <c r="G67" s="40" t="s">
        <v>18</v>
      </c>
      <c r="H67" s="52">
        <v>8.83</v>
      </c>
    </row>
    <row r="68" spans="1:17" ht="25.5">
      <c r="A68" s="72"/>
      <c r="B68" s="73"/>
      <c r="C68" s="66"/>
      <c r="D68" s="67" t="s">
        <v>177</v>
      </c>
      <c r="E68" s="71" t="s">
        <v>178</v>
      </c>
      <c r="F68" s="61"/>
      <c r="G68" s="62" t="s">
        <v>18</v>
      </c>
      <c r="H68" s="99">
        <v>8.83</v>
      </c>
    </row>
    <row r="69" spans="1:17">
      <c r="A69" s="72"/>
      <c r="B69" s="236"/>
      <c r="C69" s="66"/>
      <c r="D69" s="67"/>
      <c r="E69" s="65" t="s">
        <v>525</v>
      </c>
      <c r="F69" s="41">
        <f>F60*2</f>
        <v>8.8294239999999995</v>
      </c>
      <c r="G69" s="62"/>
      <c r="H69" s="42"/>
    </row>
    <row r="70" spans="1:17" s="111" customFormat="1">
      <c r="A70" s="179"/>
      <c r="B70" s="256"/>
      <c r="C70" s="79"/>
      <c r="D70" s="67"/>
      <c r="E70" s="77"/>
      <c r="F70" s="231"/>
      <c r="G70" s="62"/>
      <c r="H70" s="246"/>
      <c r="Q70"/>
    </row>
    <row r="71" spans="1:17">
      <c r="A71" s="34">
        <f>MAX(A$1:A70)+1</f>
        <v>13</v>
      </c>
      <c r="B71" s="43"/>
      <c r="C71" s="36" t="s">
        <v>50</v>
      </c>
      <c r="D71" s="37"/>
      <c r="E71" s="38" t="s">
        <v>51</v>
      </c>
      <c r="F71" s="39"/>
      <c r="G71" s="40" t="s">
        <v>18</v>
      </c>
      <c r="H71" s="52">
        <v>2.94</v>
      </c>
    </row>
    <row r="72" spans="1:17" ht="25.5">
      <c r="A72" s="72"/>
      <c r="B72" s="73"/>
      <c r="C72" s="66"/>
      <c r="D72" s="67" t="s">
        <v>138</v>
      </c>
      <c r="E72" s="71" t="s">
        <v>139</v>
      </c>
      <c r="F72" s="61"/>
      <c r="G72" s="62" t="s">
        <v>18</v>
      </c>
      <c r="H72" s="99">
        <v>2.94</v>
      </c>
    </row>
    <row r="73" spans="1:17" s="111" customFormat="1">
      <c r="A73" s="179"/>
      <c r="B73" s="256"/>
      <c r="C73" s="79"/>
      <c r="D73" s="67"/>
      <c r="E73" s="121" t="s">
        <v>1216</v>
      </c>
      <c r="F73" s="231"/>
      <c r="G73" s="62"/>
      <c r="H73" s="246"/>
      <c r="Q73"/>
    </row>
    <row r="74" spans="1:17" s="111" customFormat="1">
      <c r="A74" s="179"/>
      <c r="B74" s="256"/>
      <c r="C74" s="79"/>
      <c r="D74" s="67"/>
      <c r="E74" s="77" t="s">
        <v>66</v>
      </c>
      <c r="F74" s="81">
        <f>F36+F40</f>
        <v>7.3549999999999995</v>
      </c>
      <c r="G74" s="62"/>
      <c r="H74" s="246"/>
      <c r="Q74"/>
    </row>
    <row r="75" spans="1:17" s="98" customFormat="1">
      <c r="A75" s="95"/>
      <c r="B75" s="35"/>
      <c r="C75" s="35"/>
      <c r="D75" s="94"/>
      <c r="E75" s="65" t="s">
        <v>82</v>
      </c>
      <c r="F75" s="261">
        <f>-F60</f>
        <v>-4.4147119999999997</v>
      </c>
      <c r="G75" s="97"/>
      <c r="H75" s="42"/>
      <c r="I75"/>
      <c r="J75"/>
      <c r="K75"/>
      <c r="L75"/>
      <c r="Q75"/>
    </row>
    <row r="76" spans="1:17" s="98" customFormat="1">
      <c r="A76" s="95"/>
      <c r="B76" s="35"/>
      <c r="C76" s="35"/>
      <c r="D76" s="94"/>
      <c r="E76" s="65"/>
      <c r="F76" s="224">
        <f>SUM(F74:F75)</f>
        <v>2.9402879999999998</v>
      </c>
      <c r="G76" s="97"/>
      <c r="H76" s="42"/>
      <c r="I76"/>
      <c r="J76"/>
      <c r="K76"/>
      <c r="L76"/>
      <c r="Q76"/>
    </row>
    <row r="77" spans="1:17" s="98" customFormat="1">
      <c r="A77" s="95"/>
      <c r="B77" s="35"/>
      <c r="C77" s="35"/>
      <c r="D77" s="94"/>
      <c r="E77" s="65"/>
      <c r="F77" s="212"/>
      <c r="G77" s="97"/>
      <c r="H77" s="42"/>
      <c r="I77"/>
      <c r="J77"/>
      <c r="K77"/>
      <c r="L77"/>
      <c r="Q77"/>
    </row>
    <row r="78" spans="1:17">
      <c r="A78" s="34">
        <f>MAX(A$1:A77)+1</f>
        <v>14</v>
      </c>
      <c r="B78" s="73"/>
      <c r="C78" s="36" t="s">
        <v>83</v>
      </c>
      <c r="D78" s="66"/>
      <c r="E78" s="38" t="s">
        <v>182</v>
      </c>
      <c r="F78" s="39"/>
      <c r="G78" s="40" t="s">
        <v>18</v>
      </c>
      <c r="H78" s="64">
        <v>4.41</v>
      </c>
    </row>
    <row r="79" spans="1:17" ht="25.5">
      <c r="A79" s="72"/>
      <c r="B79" s="73"/>
      <c r="C79" s="66"/>
      <c r="D79" s="67" t="s">
        <v>85</v>
      </c>
      <c r="E79" s="71" t="s">
        <v>183</v>
      </c>
      <c r="F79" s="61"/>
      <c r="G79" s="62" t="s">
        <v>18</v>
      </c>
      <c r="H79" s="83">
        <v>4.41</v>
      </c>
    </row>
    <row r="80" spans="1:17" s="98" customFormat="1">
      <c r="A80" s="95"/>
      <c r="B80" s="35"/>
      <c r="C80" s="35"/>
      <c r="D80" s="94"/>
      <c r="E80" s="65" t="s">
        <v>181</v>
      </c>
      <c r="F80" s="224">
        <f>F60</f>
        <v>4.4147119999999997</v>
      </c>
      <c r="G80" s="97"/>
      <c r="H80" s="99"/>
      <c r="I80"/>
      <c r="J80"/>
      <c r="K80"/>
      <c r="L80"/>
      <c r="Q80"/>
    </row>
    <row r="81" spans="1:17" s="98" customFormat="1">
      <c r="A81" s="95"/>
      <c r="B81" s="35"/>
      <c r="C81" s="35"/>
      <c r="D81" s="94"/>
      <c r="E81" s="65"/>
      <c r="F81" s="212"/>
      <c r="G81" s="97"/>
      <c r="H81" s="99"/>
      <c r="I81"/>
      <c r="J81"/>
      <c r="K81"/>
      <c r="L81"/>
      <c r="Q81"/>
    </row>
    <row r="82" spans="1:17" ht="25.5">
      <c r="A82" s="34">
        <f>MAX(A$1:A81)+1</f>
        <v>15</v>
      </c>
      <c r="B82" s="43"/>
      <c r="C82" s="36" t="s">
        <v>185</v>
      </c>
      <c r="D82" s="37"/>
      <c r="E82" s="38" t="s">
        <v>186</v>
      </c>
      <c r="F82" s="39"/>
      <c r="G82" s="40" t="s">
        <v>21</v>
      </c>
      <c r="H82" s="64">
        <v>16.93</v>
      </c>
    </row>
    <row r="83" spans="1:17" ht="25.5">
      <c r="A83" s="72"/>
      <c r="B83" s="73"/>
      <c r="C83" s="66"/>
      <c r="D83" s="67" t="s">
        <v>187</v>
      </c>
      <c r="E83" s="71" t="s">
        <v>188</v>
      </c>
      <c r="F83" s="61"/>
      <c r="G83" s="62" t="s">
        <v>21</v>
      </c>
      <c r="H83" s="83">
        <v>16.93</v>
      </c>
    </row>
    <row r="84" spans="1:17" s="98" customFormat="1">
      <c r="A84" s="95"/>
      <c r="B84" s="35"/>
      <c r="C84" s="35"/>
      <c r="D84" s="94"/>
      <c r="E84" s="84" t="s">
        <v>526</v>
      </c>
      <c r="F84" s="212"/>
      <c r="G84" s="97"/>
      <c r="H84" s="42"/>
      <c r="I84"/>
      <c r="J84"/>
      <c r="K84"/>
      <c r="L84"/>
      <c r="Q84"/>
    </row>
    <row r="85" spans="1:17" s="98" customFormat="1">
      <c r="A85" s="95"/>
      <c r="B85" s="35"/>
      <c r="C85" s="35"/>
      <c r="D85" s="94"/>
      <c r="E85" s="65" t="s">
        <v>2174</v>
      </c>
      <c r="F85" s="262">
        <f>(1.15*3.5)*2</f>
        <v>8.0499999999999989</v>
      </c>
      <c r="G85" s="97"/>
      <c r="H85" s="42"/>
      <c r="I85"/>
      <c r="J85"/>
      <c r="K85"/>
      <c r="L85"/>
      <c r="Q85"/>
    </row>
    <row r="86" spans="1:17" s="98" customFormat="1">
      <c r="A86" s="95"/>
      <c r="B86" s="35"/>
      <c r="C86" s="35"/>
      <c r="D86" s="94"/>
      <c r="E86" s="65" t="s">
        <v>2175</v>
      </c>
      <c r="F86" s="307">
        <f>(1.5+1.5)*2*1.48</f>
        <v>8.879999999999999</v>
      </c>
      <c r="G86" s="97"/>
      <c r="H86" s="42"/>
      <c r="I86"/>
      <c r="J86"/>
      <c r="K86"/>
      <c r="L86"/>
      <c r="Q86"/>
    </row>
    <row r="87" spans="1:17" s="98" customFormat="1">
      <c r="A87" s="95"/>
      <c r="B87" s="35"/>
      <c r="C87" s="35"/>
      <c r="D87" s="94"/>
      <c r="E87" s="65"/>
      <c r="F87" s="262">
        <f>SUM(F85:F86)</f>
        <v>16.93</v>
      </c>
      <c r="G87" s="97"/>
      <c r="H87" s="42"/>
      <c r="I87"/>
      <c r="J87"/>
      <c r="K87"/>
      <c r="L87"/>
      <c r="Q87"/>
    </row>
    <row r="88" spans="1:17" s="98" customFormat="1">
      <c r="A88" s="95"/>
      <c r="B88" s="35"/>
      <c r="C88" s="35"/>
      <c r="D88" s="94"/>
      <c r="E88" s="65"/>
      <c r="F88" s="263"/>
      <c r="G88" s="97"/>
      <c r="H88" s="42"/>
      <c r="I88"/>
      <c r="J88"/>
      <c r="K88"/>
      <c r="L88"/>
      <c r="Q88"/>
    </row>
    <row r="89" spans="1:17" s="98" customFormat="1" ht="25.5">
      <c r="A89" s="34"/>
      <c r="B89" s="35" t="s">
        <v>217</v>
      </c>
      <c r="C89" s="35"/>
      <c r="D89" s="94"/>
      <c r="E89" s="50" t="s">
        <v>218</v>
      </c>
      <c r="F89" s="100"/>
      <c r="G89" s="97"/>
      <c r="H89" s="42"/>
      <c r="I89"/>
      <c r="J89"/>
      <c r="K89"/>
      <c r="L89"/>
      <c r="Q89"/>
    </row>
    <row r="90" spans="1:17" s="98" customFormat="1">
      <c r="A90" s="145"/>
      <c r="B90" s="35"/>
      <c r="C90" s="35"/>
      <c r="D90" s="94"/>
      <c r="E90" s="50"/>
      <c r="F90" s="100"/>
      <c r="G90" s="97"/>
      <c r="H90" s="42"/>
      <c r="I90"/>
      <c r="J90"/>
      <c r="K90"/>
      <c r="L90"/>
      <c r="Q90"/>
    </row>
    <row r="91" spans="1:17" ht="25.5">
      <c r="A91" s="34">
        <f>MAX(A$1:A90)+1</f>
        <v>16</v>
      </c>
      <c r="B91" s="43"/>
      <c r="C91" s="36" t="s">
        <v>434</v>
      </c>
      <c r="D91" s="37"/>
      <c r="E91" s="38" t="s">
        <v>435</v>
      </c>
      <c r="F91" s="39"/>
      <c r="G91" s="40" t="s">
        <v>18</v>
      </c>
      <c r="H91" s="44">
        <v>0.06</v>
      </c>
    </row>
    <row r="92" spans="1:17" ht="25.5">
      <c r="A92" s="72"/>
      <c r="B92" s="73"/>
      <c r="C92" s="66"/>
      <c r="D92" s="191" t="s">
        <v>436</v>
      </c>
      <c r="E92" s="193" t="s">
        <v>437</v>
      </c>
      <c r="F92" s="192"/>
      <c r="G92" s="32" t="s">
        <v>18</v>
      </c>
      <c r="H92" s="74">
        <v>0.06</v>
      </c>
    </row>
    <row r="93" spans="1:17" s="98" customFormat="1">
      <c r="A93" s="145"/>
      <c r="B93" s="35"/>
      <c r="C93" s="35"/>
      <c r="D93" s="94"/>
      <c r="E93" s="65" t="s">
        <v>2176</v>
      </c>
      <c r="F93" s="212">
        <f>0.8*0.8*0.1*1</f>
        <v>6.4000000000000015E-2</v>
      </c>
      <c r="G93" s="97"/>
      <c r="H93" s="42"/>
      <c r="I93"/>
      <c r="J93"/>
      <c r="K93"/>
      <c r="L93"/>
      <c r="Q93"/>
    </row>
    <row r="94" spans="1:17" s="98" customFormat="1">
      <c r="A94" s="145"/>
      <c r="B94" s="35"/>
      <c r="C94" s="35"/>
      <c r="D94" s="94"/>
      <c r="E94" s="65"/>
      <c r="F94" s="212"/>
      <c r="G94" s="97"/>
      <c r="H94" s="42"/>
      <c r="I94"/>
      <c r="J94"/>
      <c r="K94"/>
      <c r="L94"/>
      <c r="Q94"/>
    </row>
    <row r="95" spans="1:17" ht="25.5">
      <c r="A95" s="34">
        <f>MAX(A$1:A94)+1</f>
        <v>17</v>
      </c>
      <c r="B95" s="43"/>
      <c r="C95" s="36" t="s">
        <v>438</v>
      </c>
      <c r="D95" s="37"/>
      <c r="E95" s="38" t="s">
        <v>439</v>
      </c>
      <c r="F95" s="39"/>
      <c r="G95" s="40" t="s">
        <v>21</v>
      </c>
      <c r="H95" s="44">
        <v>0.32000000000000006</v>
      </c>
    </row>
    <row r="96" spans="1:17" ht="25.5">
      <c r="A96" s="72"/>
      <c r="B96" s="73"/>
      <c r="C96" s="66"/>
      <c r="D96" s="67" t="s">
        <v>440</v>
      </c>
      <c r="E96" s="71" t="s">
        <v>441</v>
      </c>
      <c r="F96" s="61"/>
      <c r="G96" s="62" t="s">
        <v>21</v>
      </c>
      <c r="H96" s="74">
        <v>0.32000000000000006</v>
      </c>
    </row>
    <row r="97" spans="1:8">
      <c r="A97" s="105"/>
      <c r="B97" s="73"/>
      <c r="C97" s="66"/>
      <c r="D97" s="67"/>
      <c r="E97" s="65" t="s">
        <v>2177</v>
      </c>
      <c r="F97" s="68">
        <f>(0.8+0.8)*2*0.1*1</f>
        <v>0.32000000000000006</v>
      </c>
      <c r="G97" s="62"/>
      <c r="H97" s="74"/>
    </row>
    <row r="98" spans="1:8">
      <c r="A98" s="105"/>
      <c r="B98" s="73"/>
      <c r="C98" s="66"/>
      <c r="D98" s="67"/>
      <c r="E98" s="71"/>
      <c r="F98" s="61"/>
      <c r="G98" s="62"/>
      <c r="H98" s="74"/>
    </row>
    <row r="99" spans="1:8">
      <c r="A99" s="34">
        <f>MAX(A$1:A98)+1</f>
        <v>18</v>
      </c>
      <c r="B99" s="43"/>
      <c r="C99" s="36" t="s">
        <v>458</v>
      </c>
      <c r="D99" s="37"/>
      <c r="E99" s="38" t="s">
        <v>459</v>
      </c>
      <c r="F99" s="39"/>
      <c r="G99" s="40" t="s">
        <v>36</v>
      </c>
      <c r="H99" s="254">
        <v>3.5</v>
      </c>
    </row>
    <row r="100" spans="1:8">
      <c r="A100" s="34"/>
      <c r="B100" s="43"/>
      <c r="C100" s="36"/>
      <c r="D100" s="67" t="s">
        <v>460</v>
      </c>
      <c r="E100" s="71" t="s">
        <v>461</v>
      </c>
      <c r="F100" s="61"/>
      <c r="G100" s="62" t="s">
        <v>36</v>
      </c>
      <c r="H100" s="255">
        <v>3.5</v>
      </c>
    </row>
    <row r="101" spans="1:8" ht="25.5">
      <c r="A101" s="34"/>
      <c r="B101" s="43"/>
      <c r="C101" s="36"/>
      <c r="D101" s="37"/>
      <c r="E101" s="65" t="s">
        <v>2178</v>
      </c>
      <c r="F101" s="46">
        <v>3.5</v>
      </c>
      <c r="G101" s="40"/>
      <c r="H101" s="254"/>
    </row>
    <row r="102" spans="1:8">
      <c r="A102" s="34"/>
      <c r="B102" s="43"/>
      <c r="C102" s="36"/>
      <c r="D102" s="37"/>
      <c r="E102" s="65"/>
      <c r="F102" s="46"/>
      <c r="G102" s="40"/>
      <c r="H102" s="254"/>
    </row>
    <row r="103" spans="1:8">
      <c r="A103" s="34">
        <f>MAX(A$1:A101)+1</f>
        <v>19</v>
      </c>
      <c r="B103" s="43"/>
      <c r="C103" s="36" t="s">
        <v>2179</v>
      </c>
      <c r="D103" s="37"/>
      <c r="E103" s="38" t="s">
        <v>2180</v>
      </c>
      <c r="F103" s="39"/>
      <c r="G103" s="40" t="s">
        <v>33</v>
      </c>
      <c r="H103" s="64">
        <v>2</v>
      </c>
    </row>
    <row r="104" spans="1:8">
      <c r="A104" s="72"/>
      <c r="B104" s="73"/>
      <c r="C104" s="66"/>
      <c r="D104" s="67" t="s">
        <v>2181</v>
      </c>
      <c r="E104" s="71" t="s">
        <v>2182</v>
      </c>
      <c r="F104" s="61"/>
      <c r="G104" s="62" t="s">
        <v>33</v>
      </c>
      <c r="H104" s="99">
        <v>2</v>
      </c>
    </row>
    <row r="105" spans="1:8">
      <c r="A105" s="72"/>
      <c r="B105" s="73"/>
      <c r="C105" s="66"/>
      <c r="D105" s="67"/>
      <c r="E105" s="65" t="s">
        <v>2183</v>
      </c>
      <c r="F105" s="46">
        <v>1</v>
      </c>
      <c r="G105" s="62"/>
      <c r="H105" s="42"/>
    </row>
    <row r="106" spans="1:8">
      <c r="A106" s="72"/>
      <c r="B106" s="73"/>
      <c r="C106" s="66"/>
      <c r="D106" s="67"/>
      <c r="E106" s="65" t="s">
        <v>2184</v>
      </c>
      <c r="F106" s="69">
        <v>1</v>
      </c>
      <c r="G106" s="62"/>
      <c r="H106" s="42"/>
    </row>
    <row r="107" spans="1:8">
      <c r="A107" s="72"/>
      <c r="B107" s="73"/>
      <c r="C107" s="66"/>
      <c r="D107" s="67"/>
      <c r="E107" s="71"/>
      <c r="F107" s="46">
        <f>SUM(F105:F106)</f>
        <v>2</v>
      </c>
      <c r="G107" s="62"/>
      <c r="H107" s="42"/>
    </row>
    <row r="108" spans="1:8">
      <c r="A108" s="105"/>
      <c r="B108" s="73"/>
      <c r="C108" s="66"/>
      <c r="D108" s="67"/>
      <c r="E108" s="65"/>
      <c r="F108" s="231"/>
      <c r="G108" s="62"/>
      <c r="H108" s="42"/>
    </row>
    <row r="109" spans="1:8">
      <c r="A109" s="34">
        <f>MAX(A$1:A108)+1</f>
        <v>20</v>
      </c>
      <c r="B109" s="43"/>
      <c r="C109" s="36" t="s">
        <v>355</v>
      </c>
      <c r="D109" s="37"/>
      <c r="E109" s="38" t="s">
        <v>356</v>
      </c>
      <c r="F109" s="39"/>
      <c r="G109" s="40" t="s">
        <v>33</v>
      </c>
      <c r="H109" s="52">
        <v>1</v>
      </c>
    </row>
    <row r="110" spans="1:8" ht="25.5">
      <c r="A110" s="72"/>
      <c r="B110" s="73"/>
      <c r="C110" s="66"/>
      <c r="D110" s="67" t="s">
        <v>357</v>
      </c>
      <c r="E110" s="71" t="s">
        <v>358</v>
      </c>
      <c r="F110" s="61"/>
      <c r="G110" s="62" t="s">
        <v>33</v>
      </c>
      <c r="H110" s="99">
        <v>1</v>
      </c>
    </row>
    <row r="111" spans="1:8" ht="25.5">
      <c r="A111" s="34"/>
      <c r="B111" s="43"/>
      <c r="C111" s="36"/>
      <c r="D111" s="37"/>
      <c r="E111" s="65" t="s">
        <v>2185</v>
      </c>
      <c r="F111" s="46">
        <v>1</v>
      </c>
      <c r="G111" s="40"/>
      <c r="H111" s="52"/>
    </row>
    <row r="112" spans="1:8">
      <c r="A112" s="34"/>
      <c r="B112" s="43"/>
      <c r="C112" s="36"/>
      <c r="D112" s="37"/>
      <c r="E112" s="65"/>
      <c r="F112" s="46"/>
      <c r="G112" s="40"/>
      <c r="H112" s="52"/>
    </row>
    <row r="113" spans="1:17">
      <c r="A113" s="34">
        <f>MAX(A$1:A112)+1</f>
        <v>21</v>
      </c>
      <c r="B113" s="43"/>
      <c r="C113" s="36" t="s">
        <v>359</v>
      </c>
      <c r="D113" s="37"/>
      <c r="E113" s="38" t="s">
        <v>360</v>
      </c>
      <c r="F113" s="39"/>
      <c r="G113" s="40" t="s">
        <v>33</v>
      </c>
      <c r="H113" s="64">
        <v>1</v>
      </c>
    </row>
    <row r="114" spans="1:17">
      <c r="A114" s="72"/>
      <c r="B114" s="73"/>
      <c r="C114" s="66"/>
      <c r="D114" s="67" t="s">
        <v>361</v>
      </c>
      <c r="E114" s="71" t="s">
        <v>362</v>
      </c>
      <c r="F114" s="61"/>
      <c r="G114" s="62" t="s">
        <v>33</v>
      </c>
      <c r="H114" s="99">
        <v>1</v>
      </c>
    </row>
    <row r="115" spans="1:17" ht="25.5">
      <c r="A115" s="34"/>
      <c r="B115" s="43"/>
      <c r="C115" s="36"/>
      <c r="D115" s="37"/>
      <c r="E115" s="65" t="s">
        <v>2186</v>
      </c>
      <c r="F115" s="46">
        <f>F111</f>
        <v>1</v>
      </c>
      <c r="G115" s="40"/>
      <c r="H115" s="52"/>
    </row>
    <row r="116" spans="1:17">
      <c r="A116" s="72"/>
      <c r="B116" s="73"/>
      <c r="C116" s="66"/>
      <c r="D116" s="67"/>
      <c r="E116" s="71"/>
      <c r="F116" s="46"/>
      <c r="G116" s="62"/>
      <c r="H116" s="99"/>
    </row>
    <row r="117" spans="1:17">
      <c r="A117" s="34">
        <f>MAX(A$1:A116)+1</f>
        <v>22</v>
      </c>
      <c r="B117" s="43"/>
      <c r="C117" s="36" t="s">
        <v>529</v>
      </c>
      <c r="D117" s="37"/>
      <c r="E117" s="38" t="s">
        <v>530</v>
      </c>
      <c r="F117" s="39"/>
      <c r="G117" s="40" t="s">
        <v>36</v>
      </c>
      <c r="H117" s="254">
        <v>3.5</v>
      </c>
      <c r="I117" s="266"/>
    </row>
    <row r="118" spans="1:17">
      <c r="A118" s="72"/>
      <c r="B118" s="73"/>
      <c r="C118" s="66"/>
      <c r="D118" s="67" t="s">
        <v>531</v>
      </c>
      <c r="E118" s="71" t="s">
        <v>532</v>
      </c>
      <c r="F118" s="61"/>
      <c r="G118" s="62" t="s">
        <v>36</v>
      </c>
      <c r="H118" s="255">
        <v>3.5</v>
      </c>
    </row>
    <row r="119" spans="1:17">
      <c r="A119" s="72"/>
      <c r="B119" s="73"/>
      <c r="C119" s="66"/>
      <c r="D119" s="67"/>
      <c r="E119" s="65"/>
      <c r="F119" s="90">
        <f>F101</f>
        <v>3.5</v>
      </c>
      <c r="G119" s="62"/>
      <c r="H119" s="99"/>
    </row>
    <row r="120" spans="1:17">
      <c r="A120" s="72"/>
      <c r="B120" s="73"/>
      <c r="C120" s="66"/>
      <c r="D120" s="67"/>
      <c r="E120" s="71"/>
      <c r="F120" s="61"/>
      <c r="G120" s="62"/>
      <c r="H120" s="99"/>
    </row>
    <row r="121" spans="1:17" ht="25.5">
      <c r="A121" s="34">
        <f>MAX(A$1:A120)+1</f>
        <v>23</v>
      </c>
      <c r="B121" s="43"/>
      <c r="C121" s="36" t="s">
        <v>215</v>
      </c>
      <c r="D121" s="37"/>
      <c r="E121" s="38" t="s">
        <v>216</v>
      </c>
      <c r="F121" s="39"/>
      <c r="G121" s="40" t="s">
        <v>18</v>
      </c>
      <c r="H121" s="64">
        <v>0.53</v>
      </c>
    </row>
    <row r="122" spans="1:17">
      <c r="A122" s="34"/>
      <c r="B122" s="267"/>
      <c r="C122" s="36"/>
      <c r="D122" s="37"/>
      <c r="E122" s="65" t="s">
        <v>2187</v>
      </c>
      <c r="F122" s="46">
        <f>1*0.15*3.5</f>
        <v>0.52500000000000002</v>
      </c>
      <c r="G122" s="40"/>
      <c r="H122" s="52"/>
    </row>
    <row r="123" spans="1:17">
      <c r="A123" s="34"/>
      <c r="B123" s="267"/>
      <c r="C123" s="36"/>
      <c r="D123" s="37"/>
      <c r="E123" s="91"/>
      <c r="F123" s="92"/>
      <c r="G123" s="40"/>
      <c r="H123" s="52"/>
    </row>
    <row r="124" spans="1:17">
      <c r="A124" s="55"/>
      <c r="B124" s="45"/>
      <c r="C124" s="82"/>
      <c r="D124" s="85"/>
      <c r="E124" s="77"/>
      <c r="F124" s="81"/>
      <c r="G124" s="88"/>
      <c r="H124" s="57"/>
    </row>
    <row r="125" spans="1:17" ht="15.75" thickBot="1">
      <c r="A125" s="106"/>
      <c r="B125" s="107"/>
      <c r="C125" s="107"/>
      <c r="D125" s="107"/>
      <c r="E125" s="108"/>
      <c r="F125" s="109"/>
      <c r="G125" s="107"/>
      <c r="H125" s="110"/>
    </row>
    <row r="126" spans="1:17">
      <c r="E126" s="6"/>
      <c r="F126" s="112"/>
      <c r="H126" s="8"/>
      <c r="Q126" s="223"/>
    </row>
  </sheetData>
  <sheetProtection algorithmName="SHA-512" hashValue="4W+isjrFYUKMZujETQ3CRs2/Rj4fdQZOUlv9b0OsvafFAvfodoA0a5TRpBEwDjg89F5Dgo47Z9hk9R1xq96IbA==" saltValue="Gc/+tb7Kq+NRxR48eoxLC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E5C2B-F6A1-4C4D-B428-A2A1980CE458}">
  <sheetPr codeName="Hárok17"/>
  <dimension ref="A1:Q163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2189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2223</v>
      </c>
      <c r="G2" s="11"/>
      <c r="H2" s="12"/>
    </row>
    <row r="3" spans="1:8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 ht="25.5">
      <c r="A8" s="34">
        <f>MAX(A$1:A6)+1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1.3900000000000001</v>
      </c>
    </row>
    <row r="9" spans="1:8">
      <c r="A9" s="145"/>
      <c r="B9" s="31"/>
      <c r="C9" s="36"/>
      <c r="D9" s="37"/>
      <c r="E9" s="38"/>
      <c r="F9" s="46">
        <f>F31</f>
        <v>1.3900000000000001</v>
      </c>
      <c r="G9" s="40"/>
      <c r="H9" s="128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50.2</v>
      </c>
    </row>
    <row r="12" spans="1:8">
      <c r="A12" s="145"/>
      <c r="B12" s="31"/>
      <c r="C12" s="36"/>
      <c r="D12" s="37"/>
      <c r="E12" s="38"/>
      <c r="F12" s="46">
        <f>F59</f>
        <v>50.204115999999985</v>
      </c>
      <c r="G12" s="40"/>
      <c r="H12" s="30"/>
    </row>
    <row r="13" spans="1:8">
      <c r="A13" s="268"/>
      <c r="B13" s="31"/>
      <c r="C13" s="31"/>
      <c r="D13" s="32"/>
      <c r="E13" s="33"/>
      <c r="F13" s="28"/>
      <c r="G13" s="29"/>
      <c r="H13" s="30"/>
    </row>
    <row r="14" spans="1:8" ht="15.75">
      <c r="A14" s="268"/>
      <c r="B14" s="24" t="s">
        <v>19</v>
      </c>
      <c r="C14" s="48"/>
      <c r="D14" s="49"/>
      <c r="E14" s="50" t="s">
        <v>20</v>
      </c>
      <c r="F14" s="28"/>
      <c r="G14" s="29"/>
      <c r="H14" s="30"/>
    </row>
    <row r="15" spans="1:8" ht="15.75">
      <c r="A15" s="268"/>
      <c r="B15" s="24"/>
      <c r="C15" s="48"/>
      <c r="D15" s="49"/>
      <c r="E15" s="50"/>
      <c r="F15" s="28"/>
      <c r="G15" s="29"/>
      <c r="H15" s="30"/>
    </row>
    <row r="16" spans="1:8" ht="25.5">
      <c r="A16" s="34">
        <f>MAX(A$1:A14)+1</f>
        <v>3</v>
      </c>
      <c r="B16" s="24"/>
      <c r="C16" s="36" t="s">
        <v>535</v>
      </c>
      <c r="D16" s="37"/>
      <c r="E16" s="38" t="s">
        <v>536</v>
      </c>
      <c r="F16" s="39"/>
      <c r="G16" s="40" t="s">
        <v>36</v>
      </c>
      <c r="H16" s="128">
        <v>4</v>
      </c>
    </row>
    <row r="17" spans="1:9" ht="25.5">
      <c r="A17" s="268"/>
      <c r="B17" s="24"/>
      <c r="C17" s="36"/>
      <c r="D17" s="67" t="s">
        <v>2162</v>
      </c>
      <c r="E17" s="71" t="s">
        <v>2163</v>
      </c>
      <c r="F17" s="61"/>
      <c r="G17" s="62" t="s">
        <v>36</v>
      </c>
      <c r="H17" s="124">
        <v>4</v>
      </c>
    </row>
    <row r="18" spans="1:9" ht="38.25">
      <c r="A18" s="268"/>
      <c r="B18" s="24"/>
      <c r="C18" s="36"/>
      <c r="D18" s="37"/>
      <c r="E18" s="65" t="s">
        <v>2164</v>
      </c>
      <c r="F18" s="46">
        <v>4</v>
      </c>
      <c r="G18" s="40"/>
      <c r="H18" s="30"/>
    </row>
    <row r="19" spans="1:9">
      <c r="A19" s="268"/>
      <c r="B19" s="24"/>
      <c r="C19" s="36"/>
      <c r="D19" s="37"/>
      <c r="E19" s="65"/>
      <c r="F19" s="46"/>
      <c r="G19" s="40"/>
      <c r="H19" s="30"/>
    </row>
    <row r="20" spans="1:9" ht="25.5">
      <c r="A20" s="34">
        <f>MAX(A$1:A18)+1</f>
        <v>4</v>
      </c>
      <c r="B20" s="24"/>
      <c r="C20" s="36" t="s">
        <v>451</v>
      </c>
      <c r="D20" s="37"/>
      <c r="E20" s="38" t="s">
        <v>452</v>
      </c>
      <c r="F20" s="39"/>
      <c r="G20" s="40" t="s">
        <v>33</v>
      </c>
      <c r="H20" s="128">
        <v>1.25</v>
      </c>
    </row>
    <row r="21" spans="1:9" ht="26.25">
      <c r="A21" s="268"/>
      <c r="B21" s="24"/>
      <c r="C21" s="36"/>
      <c r="D21" s="37"/>
      <c r="E21" s="68" t="s">
        <v>2190</v>
      </c>
      <c r="F21" s="112">
        <v>5</v>
      </c>
      <c r="G21" s="40"/>
      <c r="H21" s="30"/>
    </row>
    <row r="22" spans="1:9">
      <c r="A22" s="268"/>
      <c r="B22" s="24"/>
      <c r="C22" s="36"/>
      <c r="D22" s="37"/>
      <c r="E22" s="38"/>
      <c r="F22" s="39"/>
      <c r="G22" s="40"/>
      <c r="H22" s="30"/>
    </row>
    <row r="23" spans="1:9" ht="25.5">
      <c r="A23" s="34">
        <f>MAX(A$1:A21)+1</f>
        <v>5</v>
      </c>
      <c r="B23" s="24"/>
      <c r="C23" s="36" t="s">
        <v>117</v>
      </c>
      <c r="D23" s="37"/>
      <c r="E23" s="38" t="s">
        <v>118</v>
      </c>
      <c r="F23" s="39"/>
      <c r="G23" s="40" t="s">
        <v>33</v>
      </c>
      <c r="H23" s="128">
        <v>5</v>
      </c>
    </row>
    <row r="24" spans="1:9">
      <c r="A24" s="268"/>
      <c r="B24" s="24"/>
      <c r="C24" s="36"/>
      <c r="D24" s="37"/>
      <c r="E24" s="65" t="s">
        <v>2191</v>
      </c>
      <c r="F24" s="46">
        <f>5</f>
        <v>5</v>
      </c>
      <c r="G24" s="40"/>
      <c r="H24" s="30"/>
    </row>
    <row r="25" spans="1:9">
      <c r="A25" s="268"/>
      <c r="B25" s="31"/>
      <c r="C25" s="31"/>
      <c r="D25" s="32"/>
      <c r="E25" s="33"/>
      <c r="F25" s="28"/>
      <c r="G25" s="29"/>
      <c r="H25" s="30"/>
    </row>
    <row r="26" spans="1:9">
      <c r="A26" s="34">
        <f>MAX(A$1:A23)+1</f>
        <v>6</v>
      </c>
      <c r="B26" s="31"/>
      <c r="C26" s="36" t="s">
        <v>37</v>
      </c>
      <c r="D26" s="37"/>
      <c r="E26" s="38" t="s">
        <v>38</v>
      </c>
      <c r="F26" s="39"/>
      <c r="G26" s="40" t="s">
        <v>15</v>
      </c>
      <c r="H26" s="128">
        <v>2.02</v>
      </c>
      <c r="I26" s="689"/>
    </row>
    <row r="27" spans="1:9">
      <c r="A27" s="268"/>
      <c r="B27" s="31"/>
      <c r="C27" s="66"/>
      <c r="D27" s="67" t="s">
        <v>39</v>
      </c>
      <c r="E27" s="71" t="s">
        <v>40</v>
      </c>
      <c r="F27" s="61"/>
      <c r="G27" s="62" t="s">
        <v>15</v>
      </c>
      <c r="H27" s="124">
        <v>2.02</v>
      </c>
    </row>
    <row r="28" spans="1:9">
      <c r="A28" s="268"/>
      <c r="B28" s="31"/>
      <c r="C28" s="66"/>
      <c r="D28" s="67"/>
      <c r="E28" s="84" t="s">
        <v>71</v>
      </c>
      <c r="F28" s="61"/>
      <c r="G28" s="62"/>
      <c r="H28" s="124"/>
    </row>
    <row r="29" spans="1:9" ht="25.5">
      <c r="A29" s="268"/>
      <c r="B29" s="31"/>
      <c r="C29" s="66"/>
      <c r="D29" s="67"/>
      <c r="E29" s="65" t="s">
        <v>2192</v>
      </c>
      <c r="F29" s="46">
        <f>F18*0.035</f>
        <v>0.14000000000000001</v>
      </c>
      <c r="G29" s="62"/>
      <c r="H29" s="30"/>
    </row>
    <row r="30" spans="1:9">
      <c r="A30" s="268"/>
      <c r="B30" s="31"/>
      <c r="C30" s="66"/>
      <c r="D30" s="67"/>
      <c r="E30" s="65" t="s">
        <v>2193</v>
      </c>
      <c r="F30" s="69">
        <f>F21*0.25</f>
        <v>1.25</v>
      </c>
      <c r="G30" s="62"/>
      <c r="H30" s="30"/>
    </row>
    <row r="31" spans="1:9">
      <c r="A31" s="268"/>
      <c r="B31" s="31"/>
      <c r="C31" s="66"/>
      <c r="D31" s="67"/>
      <c r="E31" s="65"/>
      <c r="F31" s="46">
        <f>SUM(F29:F30)</f>
        <v>1.3900000000000001</v>
      </c>
      <c r="G31" s="62"/>
      <c r="H31" s="30"/>
    </row>
    <row r="32" spans="1:9">
      <c r="A32" s="268"/>
      <c r="B32" s="31"/>
      <c r="C32" s="66"/>
      <c r="D32" s="67"/>
      <c r="E32" s="65"/>
      <c r="F32" s="46"/>
      <c r="G32" s="62"/>
      <c r="H32" s="30"/>
    </row>
    <row r="33" spans="1:17">
      <c r="A33" s="268"/>
      <c r="B33" s="31"/>
      <c r="C33" s="66"/>
      <c r="D33" s="67"/>
      <c r="E33" s="84" t="s">
        <v>142</v>
      </c>
      <c r="F33" s="46"/>
      <c r="G33" s="62"/>
      <c r="H33" s="30"/>
    </row>
    <row r="34" spans="1:17" ht="25.5">
      <c r="A34" s="268"/>
      <c r="B34" s="31"/>
      <c r="C34" s="66"/>
      <c r="D34" s="67"/>
      <c r="E34" s="65" t="s">
        <v>2194</v>
      </c>
      <c r="F34" s="46">
        <f>F24*0.125</f>
        <v>0.625</v>
      </c>
      <c r="G34" s="62"/>
      <c r="H34" s="30"/>
    </row>
    <row r="35" spans="1:17">
      <c r="A35" s="268"/>
      <c r="B35" s="31"/>
      <c r="C35" s="66"/>
      <c r="D35" s="67"/>
      <c r="E35" s="91" t="s">
        <v>41</v>
      </c>
      <c r="F35" s="123">
        <f>F31+F34</f>
        <v>2.0150000000000001</v>
      </c>
      <c r="G35" s="62"/>
      <c r="H35" s="30"/>
    </row>
    <row r="36" spans="1:17">
      <c r="A36" s="268"/>
      <c r="B36" s="31"/>
      <c r="C36" s="66"/>
      <c r="D36" s="67"/>
      <c r="E36" s="71"/>
      <c r="F36" s="61"/>
      <c r="G36" s="62"/>
      <c r="H36" s="30"/>
    </row>
    <row r="37" spans="1:17" s="98" customFormat="1">
      <c r="A37" s="95"/>
      <c r="B37" s="35" t="s">
        <v>72</v>
      </c>
      <c r="C37" s="93"/>
      <c r="D37" s="94"/>
      <c r="E37" s="50" t="s">
        <v>73</v>
      </c>
      <c r="F37" s="100"/>
      <c r="G37" s="101"/>
      <c r="H37" s="42"/>
      <c r="I37"/>
      <c r="J37"/>
      <c r="K37"/>
      <c r="L37"/>
      <c r="Q37"/>
    </row>
    <row r="38" spans="1:17" s="98" customFormat="1">
      <c r="A38" s="95"/>
      <c r="B38" s="35"/>
      <c r="C38" s="93"/>
      <c r="D38" s="94"/>
      <c r="E38" s="50"/>
      <c r="F38" s="100"/>
      <c r="G38" s="101"/>
      <c r="H38" s="42"/>
      <c r="I38"/>
      <c r="J38"/>
      <c r="K38"/>
      <c r="L38"/>
      <c r="Q38"/>
    </row>
    <row r="39" spans="1:17">
      <c r="A39" s="34">
        <f>MAX(A$1:A37)+1</f>
        <v>7</v>
      </c>
      <c r="B39" s="43"/>
      <c r="C39" s="36" t="s">
        <v>143</v>
      </c>
      <c r="D39" s="37"/>
      <c r="E39" s="38" t="s">
        <v>144</v>
      </c>
      <c r="F39" s="39"/>
      <c r="G39" s="40" t="s">
        <v>145</v>
      </c>
      <c r="H39" s="64">
        <v>80</v>
      </c>
    </row>
    <row r="40" spans="1:17" ht="25.5">
      <c r="A40" s="72"/>
      <c r="B40" s="152"/>
      <c r="C40" s="153"/>
      <c r="D40" s="67" t="s">
        <v>146</v>
      </c>
      <c r="E40" s="71" t="s">
        <v>147</v>
      </c>
      <c r="F40" s="61"/>
      <c r="G40" s="62" t="s">
        <v>145</v>
      </c>
      <c r="H40" s="83">
        <v>80</v>
      </c>
    </row>
    <row r="41" spans="1:17" s="98" customFormat="1">
      <c r="A41" s="95"/>
      <c r="B41" s="35"/>
      <c r="C41" s="93"/>
      <c r="D41" s="94"/>
      <c r="E41" s="65" t="s">
        <v>549</v>
      </c>
      <c r="F41" s="212">
        <v>80</v>
      </c>
      <c r="G41" s="101"/>
      <c r="H41" s="42"/>
      <c r="I41"/>
      <c r="J41"/>
      <c r="K41"/>
      <c r="L41"/>
      <c r="Q41"/>
    </row>
    <row r="42" spans="1:17" s="98" customFormat="1">
      <c r="A42" s="95"/>
      <c r="B42" s="35"/>
      <c r="C42" s="93"/>
      <c r="D42" s="94"/>
      <c r="E42" s="50"/>
      <c r="F42" s="100"/>
      <c r="G42" s="101"/>
      <c r="H42" s="42"/>
      <c r="I42"/>
      <c r="J42"/>
      <c r="K42"/>
      <c r="L42"/>
      <c r="Q42"/>
    </row>
    <row r="43" spans="1:17" ht="25.5">
      <c r="A43" s="34">
        <f>MAX(A$1:A42)+1</f>
        <v>8</v>
      </c>
      <c r="B43" s="152"/>
      <c r="C43" s="36" t="s">
        <v>148</v>
      </c>
      <c r="D43" s="37"/>
      <c r="E43" s="38" t="s">
        <v>149</v>
      </c>
      <c r="F43" s="39"/>
      <c r="G43" s="40" t="s">
        <v>36</v>
      </c>
      <c r="H43" s="64">
        <v>100</v>
      </c>
    </row>
    <row r="44" spans="1:17" ht="25.5">
      <c r="A44" s="72"/>
      <c r="B44" s="152"/>
      <c r="C44" s="153"/>
      <c r="D44" s="67" t="s">
        <v>517</v>
      </c>
      <c r="E44" s="71" t="s">
        <v>518</v>
      </c>
      <c r="F44" s="61"/>
      <c r="G44" s="62" t="s">
        <v>36</v>
      </c>
      <c r="H44" s="83">
        <v>100</v>
      </c>
    </row>
    <row r="45" spans="1:17" s="98" customFormat="1">
      <c r="A45" s="95"/>
      <c r="B45" s="35"/>
      <c r="C45" s="93"/>
      <c r="D45" s="94"/>
      <c r="E45" s="65" t="s">
        <v>539</v>
      </c>
      <c r="F45" s="224">
        <v>100</v>
      </c>
      <c r="G45" s="101"/>
      <c r="H45" s="42"/>
      <c r="I45"/>
      <c r="J45"/>
      <c r="K45"/>
      <c r="L45"/>
      <c r="Q45"/>
    </row>
    <row r="46" spans="1:17" s="98" customFormat="1">
      <c r="A46" s="95"/>
      <c r="B46" s="35"/>
      <c r="C46" s="93"/>
      <c r="D46" s="94"/>
      <c r="E46" s="65"/>
      <c r="F46" s="224"/>
      <c r="G46" s="101"/>
      <c r="H46" s="42"/>
      <c r="I46"/>
      <c r="J46"/>
      <c r="K46"/>
      <c r="L46"/>
      <c r="Q46"/>
    </row>
    <row r="47" spans="1:17" s="98" customFormat="1">
      <c r="A47" s="34">
        <f>MAX(A$1:A46)+1</f>
        <v>9</v>
      </c>
      <c r="B47" s="35"/>
      <c r="C47" s="36" t="s">
        <v>154</v>
      </c>
      <c r="D47" s="37"/>
      <c r="E47" s="38" t="s">
        <v>155</v>
      </c>
      <c r="F47" s="39"/>
      <c r="G47" s="40" t="s">
        <v>18</v>
      </c>
      <c r="H47" s="52">
        <v>7.4</v>
      </c>
      <c r="I47"/>
      <c r="J47"/>
      <c r="K47"/>
      <c r="L47"/>
      <c r="Q47"/>
    </row>
    <row r="48" spans="1:17" s="98" customFormat="1">
      <c r="A48" s="95"/>
      <c r="B48" s="35"/>
      <c r="C48" s="93"/>
      <c r="D48" s="67" t="s">
        <v>156</v>
      </c>
      <c r="E48" s="71" t="s">
        <v>157</v>
      </c>
      <c r="F48" s="61"/>
      <c r="G48" s="62" t="s">
        <v>18</v>
      </c>
      <c r="H48" s="99">
        <v>7.4</v>
      </c>
      <c r="I48"/>
      <c r="J48"/>
      <c r="K48"/>
      <c r="L48"/>
      <c r="Q48"/>
    </row>
    <row r="49" spans="1:17" s="98" customFormat="1" ht="25.5">
      <c r="A49" s="95"/>
      <c r="B49" s="35"/>
      <c r="C49" s="93"/>
      <c r="D49" s="94"/>
      <c r="E49" s="77" t="s">
        <v>2195</v>
      </c>
      <c r="F49" s="231">
        <f>(2.5*2.5*1.48)-(1.25*1*1.48)</f>
        <v>7.4</v>
      </c>
      <c r="G49" s="101"/>
      <c r="H49" s="42"/>
      <c r="I49"/>
      <c r="J49"/>
      <c r="K49"/>
      <c r="L49"/>
      <c r="Q49"/>
    </row>
    <row r="50" spans="1:17" s="98" customFormat="1">
      <c r="A50" s="95"/>
      <c r="B50" s="35"/>
      <c r="C50" s="93"/>
      <c r="D50" s="94"/>
      <c r="E50" s="65"/>
      <c r="F50" s="224"/>
      <c r="G50" s="101"/>
      <c r="H50" s="42"/>
      <c r="I50"/>
      <c r="J50"/>
      <c r="K50"/>
      <c r="L50"/>
      <c r="Q50"/>
    </row>
    <row r="51" spans="1:17">
      <c r="A51" s="34">
        <f>MAX(A$1:A50)+1</f>
        <v>10</v>
      </c>
      <c r="B51" s="43"/>
      <c r="C51" s="36" t="s">
        <v>162</v>
      </c>
      <c r="D51" s="37"/>
      <c r="E51" s="38" t="s">
        <v>163</v>
      </c>
      <c r="F51" s="39"/>
      <c r="G51" s="40" t="s">
        <v>18</v>
      </c>
      <c r="H51" s="64">
        <v>140.83000000000001</v>
      </c>
    </row>
    <row r="52" spans="1:17">
      <c r="A52" s="72"/>
      <c r="B52" s="73"/>
      <c r="C52" s="66"/>
      <c r="D52" s="67" t="s">
        <v>164</v>
      </c>
      <c r="E52" s="71" t="s">
        <v>165</v>
      </c>
      <c r="F52" s="61"/>
      <c r="G52" s="62" t="s">
        <v>18</v>
      </c>
      <c r="H52" s="83">
        <v>140.83000000000001</v>
      </c>
    </row>
    <row r="53" spans="1:17" s="111" customFormat="1" ht="25.5">
      <c r="A53" s="179"/>
      <c r="B53" s="256"/>
      <c r="C53" s="79"/>
      <c r="D53" s="67"/>
      <c r="E53" s="77" t="s">
        <v>2196</v>
      </c>
      <c r="F53" s="231">
        <f>(2.2*1*60)-(0.55*1*60)</f>
        <v>99</v>
      </c>
      <c r="G53" s="62"/>
      <c r="H53" s="246"/>
      <c r="I53" s="253"/>
      <c r="Q53"/>
    </row>
    <row r="54" spans="1:17" s="111" customFormat="1" ht="25.5">
      <c r="A54" s="179"/>
      <c r="B54" s="256"/>
      <c r="C54" s="79"/>
      <c r="D54" s="67"/>
      <c r="E54" s="77" t="s">
        <v>2197</v>
      </c>
      <c r="F54" s="257">
        <f>(1.5*1.5*1.98)*13-(1.5*1.5*0.55)*13</f>
        <v>41.827500000000001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77"/>
      <c r="F55" s="231">
        <f>SUM(F53:F54)</f>
        <v>140.82749999999999</v>
      </c>
      <c r="G55" s="62"/>
      <c r="H55" s="246"/>
      <c r="Q55"/>
    </row>
    <row r="56" spans="1:17" s="111" customFormat="1">
      <c r="A56" s="179"/>
      <c r="B56" s="256"/>
      <c r="C56" s="79"/>
      <c r="D56" s="67"/>
      <c r="E56" s="77"/>
      <c r="F56" s="81"/>
      <c r="G56" s="62"/>
      <c r="H56" s="246"/>
      <c r="Q56"/>
    </row>
    <row r="57" spans="1:17">
      <c r="A57" s="34">
        <f>MAX(A$1:A56)+1</f>
        <v>11</v>
      </c>
      <c r="B57" s="43"/>
      <c r="C57" s="36" t="s">
        <v>58</v>
      </c>
      <c r="D57" s="37"/>
      <c r="E57" s="38" t="s">
        <v>59</v>
      </c>
      <c r="F57" s="39"/>
      <c r="G57" s="40" t="s">
        <v>18</v>
      </c>
      <c r="H57" s="258">
        <v>50.2</v>
      </c>
    </row>
    <row r="58" spans="1:17">
      <c r="A58" s="72"/>
      <c r="B58" s="73"/>
      <c r="C58" s="66"/>
      <c r="D58" s="67" t="s">
        <v>60</v>
      </c>
      <c r="E58" s="71" t="s">
        <v>61</v>
      </c>
      <c r="F58" s="61"/>
      <c r="G58" s="62" t="s">
        <v>18</v>
      </c>
      <c r="H58" s="259">
        <v>50.2</v>
      </c>
    </row>
    <row r="59" spans="1:17" s="98" customFormat="1">
      <c r="A59" s="95"/>
      <c r="B59" s="35"/>
      <c r="C59" s="93"/>
      <c r="D59" s="94"/>
      <c r="E59" s="77" t="s">
        <v>1212</v>
      </c>
      <c r="F59" s="104">
        <f>F97</f>
        <v>50.204115999999985</v>
      </c>
      <c r="G59" s="97"/>
      <c r="H59" s="83"/>
      <c r="I59"/>
      <c r="J59"/>
      <c r="K59"/>
      <c r="L59"/>
      <c r="Q59"/>
    </row>
    <row r="60" spans="1:17" s="98" customFormat="1">
      <c r="A60" s="95"/>
      <c r="B60" s="35"/>
      <c r="C60" s="93"/>
      <c r="D60" s="94"/>
      <c r="E60" s="65"/>
      <c r="F60" s="229"/>
      <c r="G60" s="97"/>
      <c r="H60" s="42"/>
      <c r="I60"/>
      <c r="J60"/>
      <c r="K60"/>
      <c r="L60"/>
      <c r="Q60"/>
    </row>
    <row r="61" spans="1:17">
      <c r="A61" s="34">
        <f>MAX(A$1:A60)+1</f>
        <v>12</v>
      </c>
      <c r="B61" s="43"/>
      <c r="C61" s="36" t="s">
        <v>78</v>
      </c>
      <c r="D61" s="37"/>
      <c r="E61" s="38" t="s">
        <v>79</v>
      </c>
      <c r="F61" s="39"/>
      <c r="G61" s="40" t="s">
        <v>18</v>
      </c>
      <c r="H61" s="64">
        <v>98.02</v>
      </c>
    </row>
    <row r="62" spans="1:17" s="111" customFormat="1">
      <c r="A62" s="179"/>
      <c r="B62" s="256"/>
      <c r="C62" s="79"/>
      <c r="D62" s="67" t="s">
        <v>80</v>
      </c>
      <c r="E62" s="71" t="s">
        <v>81</v>
      </c>
      <c r="F62" s="61"/>
      <c r="G62" s="62" t="s">
        <v>18</v>
      </c>
      <c r="H62" s="124">
        <v>98.02</v>
      </c>
      <c r="Q62"/>
    </row>
    <row r="63" spans="1:17" s="111" customFormat="1">
      <c r="A63" s="179"/>
      <c r="B63" s="256"/>
      <c r="C63" s="79"/>
      <c r="D63" s="67"/>
      <c r="E63" s="121" t="s">
        <v>2169</v>
      </c>
      <c r="F63" s="231"/>
      <c r="G63" s="62"/>
      <c r="H63" s="246"/>
      <c r="Q63"/>
    </row>
    <row r="64" spans="1:17" s="111" customFormat="1">
      <c r="A64" s="179"/>
      <c r="B64" s="256"/>
      <c r="C64" s="79"/>
      <c r="D64" s="67"/>
      <c r="E64" s="77" t="s">
        <v>519</v>
      </c>
      <c r="F64" s="231">
        <f>F53</f>
        <v>99</v>
      </c>
      <c r="G64" s="62"/>
      <c r="H64" s="246"/>
      <c r="Q64"/>
    </row>
    <row r="65" spans="1:17" s="111" customFormat="1">
      <c r="A65" s="179"/>
      <c r="B65" s="256"/>
      <c r="C65" s="79"/>
      <c r="D65" s="67"/>
      <c r="E65" s="77" t="s">
        <v>169</v>
      </c>
      <c r="F65" s="231">
        <f>-F159</f>
        <v>-9</v>
      </c>
      <c r="G65" s="62"/>
      <c r="H65" s="246"/>
      <c r="Q65"/>
    </row>
    <row r="66" spans="1:17" s="111" customFormat="1">
      <c r="A66" s="179"/>
      <c r="B66" s="256"/>
      <c r="C66" s="79"/>
      <c r="D66" s="67"/>
      <c r="E66" s="77" t="s">
        <v>520</v>
      </c>
      <c r="F66" s="231">
        <f>-F86</f>
        <v>-28.920360000000002</v>
      </c>
      <c r="G66" s="62"/>
      <c r="H66" s="246"/>
      <c r="Q66"/>
    </row>
    <row r="67" spans="1:17" s="111" customFormat="1">
      <c r="A67" s="179"/>
      <c r="B67" s="256"/>
      <c r="C67" s="79"/>
      <c r="D67" s="67"/>
      <c r="E67" s="77" t="s">
        <v>2198</v>
      </c>
      <c r="F67" s="257">
        <f>-0.11*0.11*3.14*60</f>
        <v>-2.2796400000000001</v>
      </c>
      <c r="G67" s="62"/>
      <c r="H67" s="246"/>
      <c r="Q67"/>
    </row>
    <row r="68" spans="1:17" s="111" customFormat="1">
      <c r="A68" s="179"/>
      <c r="B68" s="256"/>
      <c r="C68" s="79"/>
      <c r="D68" s="67"/>
      <c r="E68" s="77"/>
      <c r="F68" s="231">
        <f>SUM(F64:F67)</f>
        <v>58.8</v>
      </c>
      <c r="G68" s="62"/>
      <c r="H68" s="246"/>
      <c r="Q68"/>
    </row>
    <row r="69" spans="1:17" s="111" customFormat="1">
      <c r="A69" s="179"/>
      <c r="B69" s="256"/>
      <c r="C69" s="79"/>
      <c r="D69" s="67"/>
      <c r="E69" s="77"/>
      <c r="F69" s="231"/>
      <c r="G69" s="62"/>
      <c r="H69" s="246"/>
      <c r="Q69"/>
    </row>
    <row r="70" spans="1:17" s="111" customFormat="1">
      <c r="A70" s="179"/>
      <c r="B70" s="256"/>
      <c r="C70" s="79"/>
      <c r="D70" s="67"/>
      <c r="E70" s="121" t="s">
        <v>2199</v>
      </c>
      <c r="F70" s="231"/>
      <c r="G70" s="62"/>
      <c r="H70" s="246"/>
      <c r="Q70"/>
    </row>
    <row r="71" spans="1:17" s="111" customFormat="1">
      <c r="A71" s="179"/>
      <c r="B71" s="256"/>
      <c r="C71" s="79"/>
      <c r="D71" s="67"/>
      <c r="E71" s="77" t="s">
        <v>66</v>
      </c>
      <c r="F71" s="231">
        <f>F54</f>
        <v>41.827500000000001</v>
      </c>
      <c r="G71" s="62"/>
      <c r="H71" s="246"/>
      <c r="Q71"/>
    </row>
    <row r="72" spans="1:17" s="111" customFormat="1">
      <c r="A72" s="179"/>
      <c r="B72" s="256"/>
      <c r="C72" s="79"/>
      <c r="D72" s="67"/>
      <c r="E72" s="77" t="s">
        <v>2200</v>
      </c>
      <c r="F72" s="231">
        <f>-(0.3*0.3*3.14*1.98)*13</f>
        <v>-7.2741240000000005</v>
      </c>
      <c r="G72" s="62"/>
      <c r="H72" s="246"/>
      <c r="Q72"/>
    </row>
    <row r="73" spans="1:17" s="111" customFormat="1">
      <c r="A73" s="179"/>
      <c r="B73" s="256"/>
      <c r="C73" s="79"/>
      <c r="D73" s="67"/>
      <c r="E73" s="77" t="s">
        <v>521</v>
      </c>
      <c r="F73" s="257">
        <f>-F114</f>
        <v>-0.83200000000000018</v>
      </c>
      <c r="G73" s="62"/>
      <c r="H73" s="246"/>
      <c r="Q73"/>
    </row>
    <row r="74" spans="1:17" s="111" customFormat="1">
      <c r="A74" s="179"/>
      <c r="B74" s="256"/>
      <c r="C74" s="79"/>
      <c r="D74" s="67"/>
      <c r="E74" s="77"/>
      <c r="F74" s="231">
        <f>SUM(F71:F73)</f>
        <v>33.721375999999999</v>
      </c>
      <c r="G74" s="62"/>
      <c r="H74" s="246"/>
      <c r="Q74"/>
    </row>
    <row r="75" spans="1:17" s="111" customFormat="1">
      <c r="A75" s="179"/>
      <c r="B75" s="256"/>
      <c r="C75" s="79"/>
      <c r="D75" s="67"/>
      <c r="E75" s="77"/>
      <c r="F75" s="231"/>
      <c r="G75" s="62"/>
      <c r="H75" s="246"/>
      <c r="Q75"/>
    </row>
    <row r="76" spans="1:17" s="111" customFormat="1">
      <c r="A76" s="179"/>
      <c r="B76" s="256"/>
      <c r="C76" s="79"/>
      <c r="D76" s="67"/>
      <c r="E76" s="121" t="s">
        <v>2201</v>
      </c>
      <c r="F76" s="231"/>
      <c r="G76" s="62"/>
      <c r="H76" s="246"/>
      <c r="Q76"/>
    </row>
    <row r="77" spans="1:17" s="111" customFormat="1">
      <c r="A77" s="179"/>
      <c r="B77" s="256"/>
      <c r="C77" s="79"/>
      <c r="D77" s="67"/>
      <c r="E77" s="77" t="s">
        <v>66</v>
      </c>
      <c r="F77" s="231">
        <f>F49</f>
        <v>7.4</v>
      </c>
      <c r="G77" s="62"/>
      <c r="H77" s="246"/>
      <c r="Q77"/>
    </row>
    <row r="78" spans="1:17" s="111" customFormat="1">
      <c r="A78" s="179"/>
      <c r="B78" s="256"/>
      <c r="C78" s="79"/>
      <c r="D78" s="67"/>
      <c r="E78" s="77" t="s">
        <v>2202</v>
      </c>
      <c r="F78" s="231">
        <f>-(0.6*0.6*3.14*1.48)</f>
        <v>-1.672992</v>
      </c>
      <c r="G78" s="62"/>
      <c r="H78" s="246"/>
      <c r="Q78"/>
    </row>
    <row r="79" spans="1:17" s="111" customFormat="1">
      <c r="A79" s="179"/>
      <c r="B79" s="256"/>
      <c r="C79" s="79"/>
      <c r="D79" s="67"/>
      <c r="E79" s="77" t="s">
        <v>521</v>
      </c>
      <c r="F79" s="257">
        <f>-F115</f>
        <v>-0.22500000000000001</v>
      </c>
      <c r="G79" s="62"/>
      <c r="H79" s="246"/>
      <c r="Q79"/>
    </row>
    <row r="80" spans="1:17" s="111" customFormat="1">
      <c r="A80" s="179"/>
      <c r="B80" s="256"/>
      <c r="C80" s="79"/>
      <c r="D80" s="67"/>
      <c r="E80" s="77"/>
      <c r="F80" s="231">
        <f>SUM(F77:F79)</f>
        <v>5.5020080000000009</v>
      </c>
      <c r="G80" s="62"/>
      <c r="H80" s="246"/>
      <c r="Q80"/>
    </row>
    <row r="81" spans="1:17" s="111" customFormat="1">
      <c r="A81" s="179"/>
      <c r="B81" s="256"/>
      <c r="C81" s="79"/>
      <c r="D81" s="67"/>
      <c r="E81" s="91" t="s">
        <v>41</v>
      </c>
      <c r="F81" s="151">
        <f>F68+F74+F80</f>
        <v>98.023384000000007</v>
      </c>
      <c r="G81" s="62"/>
      <c r="H81" s="246"/>
      <c r="Q81"/>
    </row>
    <row r="82" spans="1:17" s="111" customFormat="1">
      <c r="A82" s="179"/>
      <c r="B82" s="256"/>
      <c r="C82" s="79"/>
      <c r="D82" s="67"/>
      <c r="E82" s="77"/>
      <c r="F82" s="231"/>
      <c r="G82" s="62"/>
      <c r="H82" s="246"/>
      <c r="Q82"/>
    </row>
    <row r="83" spans="1:17">
      <c r="A83" s="34">
        <f>MAX(A$1:A82)+1</f>
        <v>13</v>
      </c>
      <c r="B83" s="43"/>
      <c r="C83" s="36" t="s">
        <v>170</v>
      </c>
      <c r="D83" s="37"/>
      <c r="E83" s="38" t="s">
        <v>171</v>
      </c>
      <c r="F83" s="39"/>
      <c r="G83" s="40" t="s">
        <v>18</v>
      </c>
      <c r="H83" s="52">
        <v>28.92</v>
      </c>
    </row>
    <row r="84" spans="1:17">
      <c r="A84" s="72"/>
      <c r="B84" s="73"/>
      <c r="C84" s="66"/>
      <c r="D84" s="67" t="s">
        <v>522</v>
      </c>
      <c r="E84" s="71" t="s">
        <v>523</v>
      </c>
      <c r="F84" s="61"/>
      <c r="G84" s="62" t="s">
        <v>18</v>
      </c>
      <c r="H84" s="99">
        <v>28.92</v>
      </c>
    </row>
    <row r="85" spans="1:17" s="111" customFormat="1">
      <c r="A85" s="179"/>
      <c r="B85" s="256"/>
      <c r="C85" s="79"/>
      <c r="D85" s="67"/>
      <c r="E85" s="121" t="s">
        <v>524</v>
      </c>
      <c r="F85" s="231"/>
      <c r="G85" s="62"/>
      <c r="H85" s="246"/>
      <c r="Q85"/>
    </row>
    <row r="86" spans="1:17" s="111" customFormat="1">
      <c r="A86" s="179"/>
      <c r="B86" s="256"/>
      <c r="C86" s="79"/>
      <c r="D86" s="67"/>
      <c r="E86" s="77" t="s">
        <v>2203</v>
      </c>
      <c r="F86" s="231">
        <f>(0.52*1*60)-(0.11*0.11*3.14*60)</f>
        <v>28.920360000000002</v>
      </c>
      <c r="G86" s="62"/>
      <c r="H86" s="246"/>
      <c r="Q86"/>
    </row>
    <row r="87" spans="1:17" s="111" customFormat="1">
      <c r="A87" s="179"/>
      <c r="B87" s="256"/>
      <c r="C87" s="79"/>
      <c r="D87" s="67"/>
      <c r="E87" s="77"/>
      <c r="F87" s="231"/>
      <c r="G87" s="62"/>
      <c r="H87" s="246"/>
      <c r="Q87"/>
    </row>
    <row r="88" spans="1:17">
      <c r="A88" s="34">
        <f>MAX(A$1:A87)+1</f>
        <v>14</v>
      </c>
      <c r="B88" s="43"/>
      <c r="C88" s="36" t="s">
        <v>175</v>
      </c>
      <c r="D88" s="37"/>
      <c r="E88" s="38" t="s">
        <v>176</v>
      </c>
      <c r="F88" s="39"/>
      <c r="G88" s="40" t="s">
        <v>18</v>
      </c>
      <c r="H88" s="52">
        <v>196.05</v>
      </c>
    </row>
    <row r="89" spans="1:17" ht="25.5">
      <c r="A89" s="72"/>
      <c r="B89" s="73"/>
      <c r="C89" s="66"/>
      <c r="D89" s="67" t="s">
        <v>177</v>
      </c>
      <c r="E89" s="71" t="s">
        <v>178</v>
      </c>
      <c r="F89" s="61"/>
      <c r="G89" s="62" t="s">
        <v>18</v>
      </c>
      <c r="H89" s="99">
        <v>196.05</v>
      </c>
    </row>
    <row r="90" spans="1:17">
      <c r="A90" s="72"/>
      <c r="B90" s="236"/>
      <c r="C90" s="66"/>
      <c r="D90" s="67"/>
      <c r="E90" s="65" t="s">
        <v>525</v>
      </c>
      <c r="F90" s="41">
        <f>F81*2</f>
        <v>196.04676800000001</v>
      </c>
      <c r="G90" s="62"/>
      <c r="H90" s="42"/>
    </row>
    <row r="91" spans="1:17" s="111" customFormat="1">
      <c r="A91" s="179"/>
      <c r="B91" s="256"/>
      <c r="C91" s="79"/>
      <c r="D91" s="67"/>
      <c r="E91" s="77"/>
      <c r="F91" s="231"/>
      <c r="G91" s="62"/>
      <c r="H91" s="246"/>
      <c r="Q91"/>
    </row>
    <row r="92" spans="1:17">
      <c r="A92" s="34">
        <f>MAX(A$1:A91)+1</f>
        <v>15</v>
      </c>
      <c r="B92" s="43"/>
      <c r="C92" s="36" t="s">
        <v>50</v>
      </c>
      <c r="D92" s="37"/>
      <c r="E92" s="38" t="s">
        <v>51</v>
      </c>
      <c r="F92" s="39"/>
      <c r="G92" s="40" t="s">
        <v>18</v>
      </c>
      <c r="H92" s="52">
        <v>50.2</v>
      </c>
    </row>
    <row r="93" spans="1:17" ht="25.5">
      <c r="A93" s="72"/>
      <c r="B93" s="73"/>
      <c r="C93" s="66"/>
      <c r="D93" s="67" t="s">
        <v>138</v>
      </c>
      <c r="E93" s="71" t="s">
        <v>139</v>
      </c>
      <c r="F93" s="61"/>
      <c r="G93" s="62" t="s">
        <v>18</v>
      </c>
      <c r="H93" s="99">
        <v>50.2</v>
      </c>
    </row>
    <row r="94" spans="1:17" s="111" customFormat="1">
      <c r="A94" s="179"/>
      <c r="B94" s="256"/>
      <c r="C94" s="79"/>
      <c r="D94" s="67"/>
      <c r="E94" s="121" t="s">
        <v>1216</v>
      </c>
      <c r="F94" s="231"/>
      <c r="G94" s="62"/>
      <c r="H94" s="246"/>
      <c r="Q94"/>
    </row>
    <row r="95" spans="1:17" s="111" customFormat="1">
      <c r="A95" s="179"/>
      <c r="B95" s="256"/>
      <c r="C95" s="79"/>
      <c r="D95" s="67"/>
      <c r="E95" s="77" t="s">
        <v>66</v>
      </c>
      <c r="F95" s="81">
        <f>F55+F49</f>
        <v>148.22749999999999</v>
      </c>
      <c r="G95" s="62"/>
      <c r="H95" s="246"/>
      <c r="Q95"/>
    </row>
    <row r="96" spans="1:17" s="98" customFormat="1">
      <c r="A96" s="95"/>
      <c r="B96" s="35"/>
      <c r="C96" s="35"/>
      <c r="D96" s="94"/>
      <c r="E96" s="65" t="s">
        <v>82</v>
      </c>
      <c r="F96" s="261">
        <f>-F81</f>
        <v>-98.023384000000007</v>
      </c>
      <c r="G96" s="97"/>
      <c r="H96" s="42"/>
      <c r="I96"/>
      <c r="J96"/>
      <c r="K96"/>
      <c r="L96"/>
      <c r="Q96"/>
    </row>
    <row r="97" spans="1:17" s="98" customFormat="1">
      <c r="A97" s="95"/>
      <c r="B97" s="35"/>
      <c r="C97" s="35"/>
      <c r="D97" s="94"/>
      <c r="E97" s="65"/>
      <c r="F97" s="224">
        <f>SUM(F95:F96)</f>
        <v>50.204115999999985</v>
      </c>
      <c r="G97" s="97"/>
      <c r="H97" s="42"/>
      <c r="I97"/>
      <c r="J97"/>
      <c r="K97"/>
      <c r="L97"/>
      <c r="Q97"/>
    </row>
    <row r="98" spans="1:17" s="98" customFormat="1">
      <c r="A98" s="95"/>
      <c r="B98" s="35"/>
      <c r="C98" s="35"/>
      <c r="D98" s="94"/>
      <c r="E98" s="65"/>
      <c r="F98" s="212"/>
      <c r="G98" s="97"/>
      <c r="H98" s="42"/>
      <c r="I98"/>
      <c r="J98"/>
      <c r="K98"/>
      <c r="L98"/>
      <c r="Q98"/>
    </row>
    <row r="99" spans="1:17">
      <c r="A99" s="34">
        <f>MAX(A$1:A98)+1</f>
        <v>16</v>
      </c>
      <c r="B99" s="73"/>
      <c r="C99" s="36" t="s">
        <v>83</v>
      </c>
      <c r="D99" s="66"/>
      <c r="E99" s="38" t="s">
        <v>182</v>
      </c>
      <c r="F99" s="39"/>
      <c r="G99" s="40" t="s">
        <v>18</v>
      </c>
      <c r="H99" s="64">
        <v>98.02</v>
      </c>
    </row>
    <row r="100" spans="1:17" ht="25.5">
      <c r="A100" s="72"/>
      <c r="B100" s="73"/>
      <c r="C100" s="66"/>
      <c r="D100" s="67" t="s">
        <v>85</v>
      </c>
      <c r="E100" s="71" t="s">
        <v>183</v>
      </c>
      <c r="F100" s="61"/>
      <c r="G100" s="62" t="s">
        <v>18</v>
      </c>
      <c r="H100" s="83">
        <v>98.02</v>
      </c>
    </row>
    <row r="101" spans="1:17" s="98" customFormat="1">
      <c r="A101" s="95"/>
      <c r="B101" s="35"/>
      <c r="C101" s="35"/>
      <c r="D101" s="94"/>
      <c r="E101" s="65" t="s">
        <v>181</v>
      </c>
      <c r="F101" s="224">
        <f>F81</f>
        <v>98.023384000000007</v>
      </c>
      <c r="G101" s="97"/>
      <c r="H101" s="99"/>
      <c r="I101"/>
      <c r="J101"/>
      <c r="K101"/>
      <c r="L101"/>
      <c r="Q101"/>
    </row>
    <row r="102" spans="1:17" s="98" customFormat="1">
      <c r="A102" s="95"/>
      <c r="B102" s="35"/>
      <c r="C102" s="35"/>
      <c r="D102" s="94"/>
      <c r="E102" s="65"/>
      <c r="F102" s="212"/>
      <c r="G102" s="97"/>
      <c r="H102" s="99"/>
      <c r="I102"/>
      <c r="J102"/>
      <c r="K102"/>
      <c r="L102"/>
      <c r="Q102"/>
    </row>
    <row r="103" spans="1:17" ht="25.5">
      <c r="A103" s="34">
        <f>MAX(A$1:A102)+1</f>
        <v>17</v>
      </c>
      <c r="B103" s="43"/>
      <c r="C103" s="36" t="s">
        <v>185</v>
      </c>
      <c r="D103" s="37"/>
      <c r="E103" s="38" t="s">
        <v>186</v>
      </c>
      <c r="F103" s="39"/>
      <c r="G103" s="40" t="s">
        <v>21</v>
      </c>
      <c r="H103" s="64">
        <v>328.24</v>
      </c>
    </row>
    <row r="104" spans="1:17" ht="25.5">
      <c r="A104" s="72"/>
      <c r="B104" s="73"/>
      <c r="C104" s="66"/>
      <c r="D104" s="67" t="s">
        <v>187</v>
      </c>
      <c r="E104" s="71" t="s">
        <v>188</v>
      </c>
      <c r="F104" s="61"/>
      <c r="G104" s="62" t="s">
        <v>21</v>
      </c>
      <c r="H104" s="83">
        <v>328.24</v>
      </c>
    </row>
    <row r="105" spans="1:17" s="98" customFormat="1">
      <c r="A105" s="95"/>
      <c r="B105" s="35"/>
      <c r="C105" s="35"/>
      <c r="D105" s="94"/>
      <c r="E105" s="84" t="s">
        <v>526</v>
      </c>
      <c r="F105" s="212"/>
      <c r="G105" s="97"/>
      <c r="H105" s="42"/>
      <c r="I105"/>
      <c r="J105"/>
      <c r="K105"/>
      <c r="L105"/>
      <c r="Q105"/>
    </row>
    <row r="106" spans="1:17" s="98" customFormat="1">
      <c r="A106" s="95"/>
      <c r="B106" s="35"/>
      <c r="C106" s="35"/>
      <c r="D106" s="94"/>
      <c r="E106" s="65" t="s">
        <v>2204</v>
      </c>
      <c r="F106" s="262">
        <f>(2.2-0.55)*60*2</f>
        <v>198.00000000000003</v>
      </c>
      <c r="G106" s="97"/>
      <c r="H106" s="42"/>
      <c r="I106"/>
      <c r="J106"/>
      <c r="K106"/>
      <c r="L106"/>
      <c r="Q106"/>
    </row>
    <row r="107" spans="1:17" s="98" customFormat="1" ht="25.5">
      <c r="A107" s="95"/>
      <c r="B107" s="35"/>
      <c r="C107" s="35"/>
      <c r="D107" s="94"/>
      <c r="E107" s="65" t="s">
        <v>2205</v>
      </c>
      <c r="F107" s="307">
        <f>(1.5+1.5)*2*1.48*13+(2.5+2.5)*2*1.48*1</f>
        <v>130.23999999999998</v>
      </c>
      <c r="G107" s="97"/>
      <c r="H107" s="42"/>
      <c r="I107"/>
      <c r="J107"/>
      <c r="K107"/>
      <c r="L107"/>
      <c r="Q107"/>
    </row>
    <row r="108" spans="1:17" s="98" customFormat="1">
      <c r="A108" s="95"/>
      <c r="B108" s="35"/>
      <c r="C108" s="35"/>
      <c r="D108" s="94"/>
      <c r="E108" s="65"/>
      <c r="F108" s="262">
        <f>SUM(F106:F107)</f>
        <v>328.24</v>
      </c>
      <c r="G108" s="97"/>
      <c r="H108" s="42"/>
      <c r="I108"/>
      <c r="J108"/>
      <c r="K108"/>
      <c r="L108"/>
      <c r="Q108"/>
    </row>
    <row r="109" spans="1:17" s="98" customFormat="1">
      <c r="A109" s="95"/>
      <c r="B109" s="35"/>
      <c r="C109" s="35"/>
      <c r="D109" s="94"/>
      <c r="E109" s="65"/>
      <c r="F109" s="263"/>
      <c r="G109" s="97"/>
      <c r="H109" s="42"/>
      <c r="I109"/>
      <c r="J109"/>
      <c r="K109"/>
      <c r="L109"/>
      <c r="Q109"/>
    </row>
    <row r="110" spans="1:17" s="98" customFormat="1" ht="25.5">
      <c r="A110" s="34"/>
      <c r="B110" s="35" t="s">
        <v>217</v>
      </c>
      <c r="C110" s="35"/>
      <c r="D110" s="94"/>
      <c r="E110" s="50" t="s">
        <v>218</v>
      </c>
      <c r="F110" s="100"/>
      <c r="G110" s="97"/>
      <c r="H110" s="42"/>
      <c r="I110"/>
      <c r="J110"/>
      <c r="K110"/>
      <c r="L110"/>
      <c r="Q110"/>
    </row>
    <row r="111" spans="1:17" s="98" customFormat="1">
      <c r="A111" s="145"/>
      <c r="B111" s="35"/>
      <c r="C111" s="35"/>
      <c r="D111" s="94"/>
      <c r="E111" s="50"/>
      <c r="F111" s="100"/>
      <c r="G111" s="97"/>
      <c r="H111" s="42"/>
      <c r="I111"/>
      <c r="J111"/>
      <c r="K111"/>
      <c r="L111"/>
      <c r="Q111"/>
    </row>
    <row r="112" spans="1:17" ht="25.5">
      <c r="A112" s="34">
        <f>MAX(A$1:A111)+1</f>
        <v>18</v>
      </c>
      <c r="B112" s="43"/>
      <c r="C112" s="36" t="s">
        <v>434</v>
      </c>
      <c r="D112" s="37"/>
      <c r="E112" s="38" t="s">
        <v>435</v>
      </c>
      <c r="F112" s="39"/>
      <c r="G112" s="40" t="s">
        <v>18</v>
      </c>
      <c r="H112" s="44">
        <v>1.0576000000000001</v>
      </c>
    </row>
    <row r="113" spans="1:17" ht="25.5">
      <c r="A113" s="72"/>
      <c r="B113" s="73"/>
      <c r="C113" s="66"/>
      <c r="D113" s="191" t="s">
        <v>436</v>
      </c>
      <c r="E113" s="193" t="s">
        <v>437</v>
      </c>
      <c r="F113" s="192"/>
      <c r="G113" s="32" t="s">
        <v>18</v>
      </c>
      <c r="H113" s="74">
        <v>1.06</v>
      </c>
    </row>
    <row r="114" spans="1:17" s="98" customFormat="1">
      <c r="A114" s="145"/>
      <c r="B114" s="35"/>
      <c r="C114" s="35"/>
      <c r="D114" s="94"/>
      <c r="E114" s="65" t="s">
        <v>2206</v>
      </c>
      <c r="F114" s="212">
        <f>0.8*0.8*0.1*13</f>
        <v>0.83200000000000018</v>
      </c>
      <c r="G114" s="97"/>
      <c r="H114" s="42"/>
      <c r="I114"/>
      <c r="J114"/>
      <c r="K114"/>
      <c r="L114"/>
      <c r="Q114"/>
    </row>
    <row r="115" spans="1:17" s="98" customFormat="1">
      <c r="A115" s="145"/>
      <c r="B115" s="35"/>
      <c r="C115" s="35"/>
      <c r="D115" s="94"/>
      <c r="E115" s="65" t="s">
        <v>2207</v>
      </c>
      <c r="F115" s="213">
        <f>1.5*1.5*0.1*1</f>
        <v>0.22500000000000001</v>
      </c>
      <c r="G115" s="97"/>
      <c r="H115" s="42"/>
      <c r="I115"/>
      <c r="J115"/>
      <c r="K115"/>
      <c r="L115"/>
      <c r="Q115"/>
    </row>
    <row r="116" spans="1:17" s="98" customFormat="1">
      <c r="A116" s="145"/>
      <c r="B116" s="35"/>
      <c r="C116" s="35"/>
      <c r="D116" s="94"/>
      <c r="E116" s="65"/>
      <c r="F116" s="212">
        <f>SUM(F114:F115)</f>
        <v>1.0570000000000002</v>
      </c>
      <c r="G116" s="97"/>
      <c r="H116" s="42"/>
      <c r="I116"/>
      <c r="J116"/>
      <c r="K116"/>
      <c r="L116"/>
      <c r="Q116"/>
    </row>
    <row r="117" spans="1:17" s="98" customFormat="1">
      <c r="A117" s="145"/>
      <c r="B117" s="35"/>
      <c r="C117" s="35"/>
      <c r="D117" s="94"/>
      <c r="E117" s="65"/>
      <c r="F117" s="212"/>
      <c r="G117" s="97"/>
      <c r="H117" s="42"/>
      <c r="I117"/>
      <c r="J117"/>
      <c r="K117"/>
      <c r="L117"/>
      <c r="Q117"/>
    </row>
    <row r="118" spans="1:17" ht="25.5">
      <c r="A118" s="34">
        <f>MAX(A$1:A117)+1</f>
        <v>19</v>
      </c>
      <c r="B118" s="43"/>
      <c r="C118" s="36" t="s">
        <v>438</v>
      </c>
      <c r="D118" s="37"/>
      <c r="E118" s="38" t="s">
        <v>439</v>
      </c>
      <c r="F118" s="39"/>
      <c r="G118" s="40" t="s">
        <v>21</v>
      </c>
      <c r="H118" s="44">
        <v>4.7600000000000016</v>
      </c>
    </row>
    <row r="119" spans="1:17" ht="25.5">
      <c r="A119" s="72"/>
      <c r="B119" s="73"/>
      <c r="C119" s="66"/>
      <c r="D119" s="67" t="s">
        <v>440</v>
      </c>
      <c r="E119" s="71" t="s">
        <v>441</v>
      </c>
      <c r="F119" s="61"/>
      <c r="G119" s="62" t="s">
        <v>21</v>
      </c>
      <c r="H119" s="74">
        <v>4.7600000000000016</v>
      </c>
    </row>
    <row r="120" spans="1:17">
      <c r="A120" s="105"/>
      <c r="B120" s="73"/>
      <c r="C120" s="66"/>
      <c r="D120" s="67"/>
      <c r="E120" s="65" t="s">
        <v>2208</v>
      </c>
      <c r="F120" s="68">
        <f>(0.8+0.8)*2*0.1*13</f>
        <v>4.160000000000001</v>
      </c>
      <c r="G120" s="62"/>
      <c r="H120" s="74"/>
    </row>
    <row r="121" spans="1:17">
      <c r="A121" s="105"/>
      <c r="B121" s="73"/>
      <c r="C121" s="66"/>
      <c r="D121" s="67"/>
      <c r="E121" s="65" t="s">
        <v>2209</v>
      </c>
      <c r="F121" s="69">
        <f>(1.5+1.5)*2*0.1*1</f>
        <v>0.60000000000000009</v>
      </c>
      <c r="G121" s="62"/>
      <c r="H121" s="74"/>
    </row>
    <row r="122" spans="1:17">
      <c r="A122" s="105"/>
      <c r="B122" s="73"/>
      <c r="C122" s="66"/>
      <c r="D122" s="67"/>
      <c r="E122" s="65"/>
      <c r="F122" s="68">
        <f>SUM(F120:F121)</f>
        <v>4.7600000000000016</v>
      </c>
      <c r="G122" s="62"/>
      <c r="H122" s="74"/>
    </row>
    <row r="123" spans="1:17">
      <c r="A123" s="105"/>
      <c r="B123" s="73"/>
      <c r="C123" s="66"/>
      <c r="D123" s="67"/>
      <c r="E123" s="71"/>
      <c r="F123" s="61"/>
      <c r="G123" s="62"/>
      <c r="H123" s="74"/>
    </row>
    <row r="124" spans="1:17">
      <c r="A124" s="34">
        <f>MAX(A$1:A123)+1</f>
        <v>20</v>
      </c>
      <c r="B124" s="43"/>
      <c r="C124" s="36" t="s">
        <v>458</v>
      </c>
      <c r="D124" s="37"/>
      <c r="E124" s="38" t="s">
        <v>459</v>
      </c>
      <c r="F124" s="39"/>
      <c r="G124" s="40" t="s">
        <v>36</v>
      </c>
      <c r="H124" s="254">
        <v>60</v>
      </c>
    </row>
    <row r="125" spans="1:17">
      <c r="A125" s="34"/>
      <c r="B125" s="43"/>
      <c r="C125" s="36"/>
      <c r="D125" s="67" t="s">
        <v>460</v>
      </c>
      <c r="E125" s="71" t="s">
        <v>461</v>
      </c>
      <c r="F125" s="61"/>
      <c r="G125" s="62" t="s">
        <v>36</v>
      </c>
      <c r="H125" s="255">
        <v>60</v>
      </c>
    </row>
    <row r="126" spans="1:17" ht="25.5">
      <c r="A126" s="34"/>
      <c r="B126" s="43"/>
      <c r="C126" s="36"/>
      <c r="D126" s="37"/>
      <c r="E126" s="65" t="s">
        <v>2210</v>
      </c>
      <c r="F126" s="46">
        <v>60</v>
      </c>
      <c r="G126" s="40"/>
      <c r="H126" s="254"/>
    </row>
    <row r="127" spans="1:17">
      <c r="A127" s="34"/>
      <c r="B127" s="43"/>
      <c r="C127" s="36"/>
      <c r="D127" s="37"/>
      <c r="E127" s="65"/>
      <c r="F127" s="46"/>
      <c r="G127" s="40"/>
      <c r="H127" s="254"/>
    </row>
    <row r="128" spans="1:17">
      <c r="A128" s="34">
        <f>MAX(A$1:A126)+1</f>
        <v>21</v>
      </c>
      <c r="B128" s="43"/>
      <c r="C128" s="36" t="s">
        <v>2179</v>
      </c>
      <c r="D128" s="37"/>
      <c r="E128" s="38" t="s">
        <v>2180</v>
      </c>
      <c r="F128" s="39"/>
      <c r="G128" s="40" t="s">
        <v>33</v>
      </c>
      <c r="H128" s="64">
        <v>23</v>
      </c>
    </row>
    <row r="129" spans="1:9">
      <c r="A129" s="72"/>
      <c r="B129" s="73"/>
      <c r="C129" s="66"/>
      <c r="D129" s="67" t="s">
        <v>2181</v>
      </c>
      <c r="E129" s="71" t="s">
        <v>2182</v>
      </c>
      <c r="F129" s="61"/>
      <c r="G129" s="62" t="s">
        <v>33</v>
      </c>
      <c r="H129" s="99">
        <v>23</v>
      </c>
    </row>
    <row r="130" spans="1:9">
      <c r="A130" s="72"/>
      <c r="B130" s="73"/>
      <c r="C130" s="66"/>
      <c r="D130" s="67"/>
      <c r="E130" s="65" t="s">
        <v>2211</v>
      </c>
      <c r="F130" s="46">
        <v>10</v>
      </c>
      <c r="G130" s="62"/>
      <c r="H130" s="42"/>
    </row>
    <row r="131" spans="1:9">
      <c r="A131" s="72"/>
      <c r="B131" s="73"/>
      <c r="C131" s="66"/>
      <c r="D131" s="67"/>
      <c r="E131" s="65" t="s">
        <v>2184</v>
      </c>
      <c r="F131" s="69">
        <v>13</v>
      </c>
      <c r="G131" s="62"/>
      <c r="H131" s="42"/>
    </row>
    <row r="132" spans="1:9">
      <c r="A132" s="72"/>
      <c r="B132" s="73"/>
      <c r="C132" s="66"/>
      <c r="D132" s="67"/>
      <c r="E132" s="71"/>
      <c r="F132" s="46">
        <f>SUM(F130:F131)</f>
        <v>23</v>
      </c>
      <c r="G132" s="62"/>
      <c r="H132" s="42"/>
    </row>
    <row r="133" spans="1:9">
      <c r="A133" s="105"/>
      <c r="B133" s="73"/>
      <c r="C133" s="66"/>
      <c r="D133" s="67"/>
      <c r="E133" s="71"/>
      <c r="F133" s="46"/>
      <c r="G133" s="62"/>
      <c r="H133" s="42"/>
    </row>
    <row r="134" spans="1:9">
      <c r="A134" s="34">
        <f>MAX(A$1:A132)+1</f>
        <v>22</v>
      </c>
      <c r="B134" s="73"/>
      <c r="C134" s="36" t="s">
        <v>2212</v>
      </c>
      <c r="D134" s="37"/>
      <c r="E134" s="38" t="s">
        <v>2213</v>
      </c>
      <c r="F134" s="39"/>
      <c r="G134" s="40" t="s">
        <v>33</v>
      </c>
      <c r="H134" s="254">
        <v>9</v>
      </c>
    </row>
    <row r="135" spans="1:9">
      <c r="A135" s="105"/>
      <c r="B135" s="73"/>
      <c r="C135" s="66"/>
      <c r="D135" s="67" t="s">
        <v>2214</v>
      </c>
      <c r="E135" s="71" t="s">
        <v>2215</v>
      </c>
      <c r="F135" s="61"/>
      <c r="G135" s="62" t="s">
        <v>33</v>
      </c>
      <c r="H135" s="255">
        <v>9</v>
      </c>
    </row>
    <row r="136" spans="1:9" ht="25.5">
      <c r="A136" s="105"/>
      <c r="B136" s="73"/>
      <c r="C136" s="66"/>
      <c r="D136" s="67"/>
      <c r="E136" s="65" t="s">
        <v>2216</v>
      </c>
      <c r="F136" s="46">
        <v>7</v>
      </c>
      <c r="G136" s="62"/>
      <c r="H136" s="42"/>
    </row>
    <row r="137" spans="1:9" ht="25.5">
      <c r="A137" s="105"/>
      <c r="B137" s="73"/>
      <c r="C137" s="66"/>
      <c r="D137" s="67"/>
      <c r="E137" s="65" t="s">
        <v>2217</v>
      </c>
      <c r="F137" s="69">
        <v>2</v>
      </c>
      <c r="G137" s="62"/>
      <c r="H137" s="42"/>
    </row>
    <row r="138" spans="1:9">
      <c r="A138" s="105"/>
      <c r="B138" s="73"/>
      <c r="C138" s="66"/>
      <c r="D138" s="67"/>
      <c r="E138" s="71"/>
      <c r="F138" s="46">
        <f>SUM(F136:F137)</f>
        <v>9</v>
      </c>
      <c r="G138" s="62"/>
      <c r="H138" s="42"/>
    </row>
    <row r="139" spans="1:9">
      <c r="A139" s="105"/>
      <c r="B139" s="73"/>
      <c r="C139" s="66"/>
      <c r="D139" s="67"/>
      <c r="E139" s="71"/>
      <c r="F139" s="46"/>
      <c r="G139" s="62"/>
      <c r="H139" s="42"/>
    </row>
    <row r="140" spans="1:9" ht="25.5">
      <c r="A140" s="34">
        <f>MAX(A$1:A138)+1</f>
        <v>23</v>
      </c>
      <c r="B140" s="73"/>
      <c r="C140" s="36" t="s">
        <v>219</v>
      </c>
      <c r="D140" s="37"/>
      <c r="E140" s="189" t="s">
        <v>220</v>
      </c>
      <c r="F140" s="39"/>
      <c r="G140" s="40" t="s">
        <v>33</v>
      </c>
      <c r="H140" s="254">
        <v>1</v>
      </c>
      <c r="I140" s="266"/>
    </row>
    <row r="141" spans="1:9" ht="25.5">
      <c r="A141" s="105"/>
      <c r="B141" s="73"/>
      <c r="C141" s="66"/>
      <c r="D141" s="67" t="s">
        <v>221</v>
      </c>
      <c r="E141" s="190" t="s">
        <v>222</v>
      </c>
      <c r="F141" s="61"/>
      <c r="G141" s="62" t="s">
        <v>33</v>
      </c>
      <c r="H141" s="255">
        <v>1</v>
      </c>
    </row>
    <row r="142" spans="1:9" ht="25.5">
      <c r="A142" s="105"/>
      <c r="B142" s="73"/>
      <c r="C142" s="66"/>
      <c r="D142" s="67"/>
      <c r="E142" s="65" t="s">
        <v>2218</v>
      </c>
      <c r="F142" s="46">
        <v>1</v>
      </c>
      <c r="G142" s="62"/>
      <c r="H142" s="42"/>
    </row>
    <row r="143" spans="1:9">
      <c r="A143" s="105"/>
      <c r="B143" s="73"/>
      <c r="C143" s="66"/>
      <c r="D143" s="67"/>
      <c r="E143" s="65"/>
      <c r="F143" s="231"/>
      <c r="G143" s="62"/>
      <c r="H143" s="42"/>
    </row>
    <row r="144" spans="1:9">
      <c r="A144" s="34">
        <f>MAX(A$1:A143)+1</f>
        <v>24</v>
      </c>
      <c r="B144" s="43"/>
      <c r="C144" s="36" t="s">
        <v>355</v>
      </c>
      <c r="D144" s="37"/>
      <c r="E144" s="38" t="s">
        <v>356</v>
      </c>
      <c r="F144" s="39"/>
      <c r="G144" s="40" t="s">
        <v>33</v>
      </c>
      <c r="H144" s="52">
        <v>13</v>
      </c>
    </row>
    <row r="145" spans="1:9" ht="25.5">
      <c r="A145" s="72"/>
      <c r="B145" s="73"/>
      <c r="C145" s="66"/>
      <c r="D145" s="67" t="s">
        <v>357</v>
      </c>
      <c r="E145" s="71" t="s">
        <v>358</v>
      </c>
      <c r="F145" s="61"/>
      <c r="G145" s="62" t="s">
        <v>33</v>
      </c>
      <c r="H145" s="99">
        <v>13</v>
      </c>
    </row>
    <row r="146" spans="1:9" ht="25.5">
      <c r="A146" s="34"/>
      <c r="B146" s="43"/>
      <c r="C146" s="36"/>
      <c r="D146" s="37"/>
      <c r="E146" s="65" t="s">
        <v>2185</v>
      </c>
      <c r="F146" s="46">
        <v>13</v>
      </c>
      <c r="G146" s="40"/>
      <c r="H146" s="52"/>
    </row>
    <row r="147" spans="1:9">
      <c r="A147" s="34"/>
      <c r="B147" s="43"/>
      <c r="C147" s="36"/>
      <c r="D147" s="37"/>
      <c r="E147" s="65"/>
      <c r="F147" s="46"/>
      <c r="G147" s="40"/>
      <c r="H147" s="52"/>
    </row>
    <row r="148" spans="1:9">
      <c r="A148" s="34">
        <f>MAX(A$1:A147)+1</f>
        <v>25</v>
      </c>
      <c r="B148" s="43"/>
      <c r="C148" s="36" t="s">
        <v>359</v>
      </c>
      <c r="D148" s="37"/>
      <c r="E148" s="38" t="s">
        <v>360</v>
      </c>
      <c r="F148" s="39"/>
      <c r="G148" s="40" t="s">
        <v>33</v>
      </c>
      <c r="H148" s="64">
        <v>14</v>
      </c>
      <c r="I148" s="689"/>
    </row>
    <row r="149" spans="1:9">
      <c r="A149" s="34"/>
      <c r="B149" s="43"/>
      <c r="C149" s="36"/>
      <c r="D149" s="67" t="s">
        <v>527</v>
      </c>
      <c r="E149" s="71" t="s">
        <v>528</v>
      </c>
      <c r="F149" s="61"/>
      <c r="G149" s="62" t="s">
        <v>33</v>
      </c>
      <c r="H149" s="83">
        <v>1</v>
      </c>
    </row>
    <row r="150" spans="1:9" ht="25.5">
      <c r="A150" s="34"/>
      <c r="B150" s="43"/>
      <c r="C150" s="36"/>
      <c r="D150" s="37"/>
      <c r="E150" s="65" t="s">
        <v>2219</v>
      </c>
      <c r="F150" s="46">
        <v>1</v>
      </c>
      <c r="G150" s="40"/>
      <c r="H150" s="64"/>
    </row>
    <row r="151" spans="1:9">
      <c r="A151" s="72"/>
      <c r="B151" s="73"/>
      <c r="C151" s="66"/>
      <c r="D151" s="67" t="s">
        <v>361</v>
      </c>
      <c r="E151" s="71" t="s">
        <v>362</v>
      </c>
      <c r="F151" s="61"/>
      <c r="G151" s="62" t="s">
        <v>33</v>
      </c>
      <c r="H151" s="99">
        <v>13</v>
      </c>
    </row>
    <row r="152" spans="1:9" ht="25.5">
      <c r="A152" s="34"/>
      <c r="B152" s="43"/>
      <c r="C152" s="36"/>
      <c r="D152" s="37"/>
      <c r="E152" s="65" t="s">
        <v>2186</v>
      </c>
      <c r="F152" s="46">
        <v>13</v>
      </c>
      <c r="G152" s="40"/>
      <c r="H152" s="52"/>
    </row>
    <row r="153" spans="1:9">
      <c r="A153" s="72"/>
      <c r="B153" s="73"/>
      <c r="C153" s="66"/>
      <c r="D153" s="67"/>
      <c r="E153" s="71"/>
      <c r="F153" s="46"/>
      <c r="G153" s="62"/>
      <c r="H153" s="99"/>
    </row>
    <row r="154" spans="1:9">
      <c r="A154" s="34">
        <f>MAX(A$1:A153)+1</f>
        <v>26</v>
      </c>
      <c r="B154" s="43"/>
      <c r="C154" s="36" t="s">
        <v>529</v>
      </c>
      <c r="D154" s="37"/>
      <c r="E154" s="38" t="s">
        <v>530</v>
      </c>
      <c r="F154" s="39"/>
      <c r="G154" s="40" t="s">
        <v>36</v>
      </c>
      <c r="H154" s="254">
        <v>60</v>
      </c>
      <c r="I154" s="115"/>
    </row>
    <row r="155" spans="1:9">
      <c r="A155" s="72"/>
      <c r="B155" s="73"/>
      <c r="C155" s="66"/>
      <c r="D155" s="67" t="s">
        <v>531</v>
      </c>
      <c r="E155" s="71" t="s">
        <v>532</v>
      </c>
      <c r="F155" s="61"/>
      <c r="G155" s="62" t="s">
        <v>36</v>
      </c>
      <c r="H155" s="255">
        <v>60</v>
      </c>
    </row>
    <row r="156" spans="1:9">
      <c r="A156" s="72"/>
      <c r="B156" s="73"/>
      <c r="C156" s="66"/>
      <c r="D156" s="67"/>
      <c r="E156" s="65"/>
      <c r="F156" s="90">
        <f>F126</f>
        <v>60</v>
      </c>
      <c r="G156" s="62"/>
      <c r="H156" s="99"/>
    </row>
    <row r="157" spans="1:9">
      <c r="A157" s="72"/>
      <c r="B157" s="73"/>
      <c r="C157" s="66"/>
      <c r="D157" s="67"/>
      <c r="E157" s="71"/>
      <c r="F157" s="61"/>
      <c r="G157" s="62"/>
      <c r="H157" s="99"/>
    </row>
    <row r="158" spans="1:9" ht="25.5">
      <c r="A158" s="34">
        <f>MAX(A$1:A157)+1</f>
        <v>27</v>
      </c>
      <c r="B158" s="43"/>
      <c r="C158" s="36" t="s">
        <v>215</v>
      </c>
      <c r="D158" s="37"/>
      <c r="E158" s="38" t="s">
        <v>216</v>
      </c>
      <c r="F158" s="39"/>
      <c r="G158" s="40" t="s">
        <v>18</v>
      </c>
      <c r="H158" s="64">
        <v>9</v>
      </c>
    </row>
    <row r="159" spans="1:9">
      <c r="A159" s="34"/>
      <c r="B159" s="267"/>
      <c r="C159" s="36"/>
      <c r="D159" s="37"/>
      <c r="E159" s="65" t="s">
        <v>2220</v>
      </c>
      <c r="F159" s="46">
        <f>1*0.15*60</f>
        <v>9</v>
      </c>
      <c r="G159" s="40"/>
      <c r="H159" s="52"/>
    </row>
    <row r="160" spans="1:9">
      <c r="A160" s="34"/>
      <c r="B160" s="267"/>
      <c r="C160" s="36"/>
      <c r="D160" s="37"/>
      <c r="E160" s="91"/>
      <c r="F160" s="92"/>
      <c r="G160" s="40"/>
      <c r="H160" s="52"/>
    </row>
    <row r="161" spans="1:17">
      <c r="A161" s="55"/>
      <c r="B161" s="45"/>
      <c r="C161" s="82"/>
      <c r="D161" s="85"/>
      <c r="E161" s="77"/>
      <c r="F161" s="81"/>
      <c r="G161" s="88"/>
      <c r="H161" s="57"/>
    </row>
    <row r="162" spans="1:17" ht="15.75" thickBot="1">
      <c r="A162" s="106"/>
      <c r="B162" s="107"/>
      <c r="C162" s="107"/>
      <c r="D162" s="107"/>
      <c r="E162" s="108"/>
      <c r="F162" s="109"/>
      <c r="G162" s="107"/>
      <c r="H162" s="110"/>
    </row>
    <row r="163" spans="1:17">
      <c r="E163" s="6"/>
      <c r="F163" s="112"/>
      <c r="H163" s="8"/>
      <c r="Q163" s="223"/>
    </row>
  </sheetData>
  <sheetProtection algorithmName="SHA-512" hashValue="g1ej7uGBv0jle6SoTBmePaL0IKUoYLNY0oCZ9a9R3lelazKJ+J9bxY92WpCBy/JS5yLXJBWO37wgJauX+ngZog==" saltValue="iGUQf0e32EAProIcAj5iS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16A28-D835-49CD-A8C3-1C91AD0032F1}">
  <dimension ref="B1:E65"/>
  <sheetViews>
    <sheetView workbookViewId="0">
      <selection activeCell="C22" sqref="C22"/>
    </sheetView>
  </sheetViews>
  <sheetFormatPr defaultRowHeight="15"/>
  <cols>
    <col min="3" max="3" width="69.7109375" customWidth="1"/>
  </cols>
  <sheetData>
    <row r="1" spans="2:5" ht="15.75">
      <c r="B1" s="1330" t="s">
        <v>847</v>
      </c>
      <c r="C1" s="1330"/>
    </row>
    <row r="2" spans="2:5" ht="15.75" thickBot="1"/>
    <row r="3" spans="2:5" s="679" customFormat="1" ht="23.25" thickBot="1">
      <c r="B3" s="683" t="s">
        <v>845</v>
      </c>
      <c r="C3" s="681" t="s">
        <v>846</v>
      </c>
      <c r="D3" s="680"/>
      <c r="E3" s="680"/>
    </row>
    <row r="4" spans="2:5">
      <c r="B4" s="684" t="s">
        <v>888</v>
      </c>
      <c r="C4" s="1301" t="s">
        <v>889</v>
      </c>
    </row>
    <row r="5" spans="2:5">
      <c r="B5" s="685" t="s">
        <v>1092</v>
      </c>
      <c r="C5" s="1302" t="s">
        <v>1093</v>
      </c>
    </row>
    <row r="6" spans="2:5">
      <c r="B6" s="685" t="s">
        <v>1388</v>
      </c>
      <c r="C6" s="1302" t="s">
        <v>1389</v>
      </c>
    </row>
    <row r="7" spans="2:5">
      <c r="B7" s="685" t="s">
        <v>1497</v>
      </c>
      <c r="C7" s="1302" t="s">
        <v>1498</v>
      </c>
    </row>
    <row r="8" spans="2:5">
      <c r="B8" s="685" t="s">
        <v>1453</v>
      </c>
      <c r="C8" s="1302" t="s">
        <v>1454</v>
      </c>
    </row>
    <row r="9" spans="2:5" ht="30">
      <c r="B9" s="685" t="s">
        <v>1597</v>
      </c>
      <c r="C9" s="1303" t="s">
        <v>1598</v>
      </c>
    </row>
    <row r="10" spans="2:5" ht="30">
      <c r="B10" s="685" t="s">
        <v>1599</v>
      </c>
      <c r="C10" s="1303" t="s">
        <v>1717</v>
      </c>
    </row>
    <row r="11" spans="2:5">
      <c r="B11" s="685" t="s">
        <v>827</v>
      </c>
      <c r="C11" s="1302" t="s">
        <v>1735</v>
      </c>
    </row>
    <row r="12" spans="2:5">
      <c r="B12" s="685" t="s">
        <v>828</v>
      </c>
      <c r="C12" s="1302" t="s">
        <v>1757</v>
      </c>
    </row>
    <row r="13" spans="2:5">
      <c r="B13" s="685" t="s">
        <v>1929</v>
      </c>
      <c r="C13" s="1302" t="s">
        <v>1930</v>
      </c>
    </row>
    <row r="14" spans="2:5">
      <c r="B14" s="685" t="s">
        <v>397</v>
      </c>
      <c r="C14" s="1302" t="s">
        <v>1984</v>
      </c>
    </row>
    <row r="15" spans="2:5">
      <c r="B15" s="685" t="s">
        <v>340</v>
      </c>
      <c r="C15" s="1302" t="s">
        <v>2064</v>
      </c>
    </row>
    <row r="16" spans="2:5">
      <c r="B16" s="685" t="s">
        <v>2088</v>
      </c>
      <c r="C16" s="1302" t="s">
        <v>2089</v>
      </c>
    </row>
    <row r="17" spans="2:3">
      <c r="B17" s="685" t="s">
        <v>398</v>
      </c>
      <c r="C17" s="1302" t="s">
        <v>2122</v>
      </c>
    </row>
    <row r="18" spans="2:3">
      <c r="B18" s="685" t="s">
        <v>399</v>
      </c>
      <c r="C18" s="1302" t="s">
        <v>2160</v>
      </c>
    </row>
    <row r="19" spans="2:3">
      <c r="B19" s="685" t="s">
        <v>829</v>
      </c>
      <c r="C19" s="1302" t="s">
        <v>2188</v>
      </c>
    </row>
    <row r="20" spans="2:3">
      <c r="B20" s="685" t="s">
        <v>830</v>
      </c>
      <c r="C20" s="1302" t="s">
        <v>2221</v>
      </c>
    </row>
    <row r="21" spans="2:3">
      <c r="B21" s="685" t="s">
        <v>2250</v>
      </c>
      <c r="C21" s="1302" t="s">
        <v>2251</v>
      </c>
    </row>
    <row r="22" spans="2:3">
      <c r="B22" s="685" t="s">
        <v>2378</v>
      </c>
      <c r="C22" s="1302" t="s">
        <v>2379</v>
      </c>
    </row>
    <row r="23" spans="2:3">
      <c r="B23" s="685" t="s">
        <v>2418</v>
      </c>
      <c r="C23" s="1302" t="s">
        <v>2419</v>
      </c>
    </row>
    <row r="24" spans="2:3">
      <c r="B24" s="685" t="s">
        <v>2438</v>
      </c>
      <c r="C24" s="1302" t="s">
        <v>2439</v>
      </c>
    </row>
    <row r="25" spans="2:3">
      <c r="B25" s="685" t="s">
        <v>2464</v>
      </c>
      <c r="C25" s="1302" t="s">
        <v>2465</v>
      </c>
    </row>
    <row r="26" spans="2:3">
      <c r="B26" s="685" t="s">
        <v>831</v>
      </c>
      <c r="C26" s="1302" t="s">
        <v>2480</v>
      </c>
    </row>
    <row r="27" spans="2:3">
      <c r="B27" s="685" t="s">
        <v>2487</v>
      </c>
      <c r="C27" s="1302" t="s">
        <v>2488</v>
      </c>
    </row>
    <row r="28" spans="2:3">
      <c r="B28" s="685" t="s">
        <v>2495</v>
      </c>
      <c r="C28" s="1302" t="s">
        <v>2496</v>
      </c>
    </row>
    <row r="29" spans="2:3">
      <c r="B29" s="685" t="s">
        <v>2503</v>
      </c>
      <c r="C29" s="1302" t="s">
        <v>2504</v>
      </c>
    </row>
    <row r="30" spans="2:3">
      <c r="B30" s="685" t="s">
        <v>2522</v>
      </c>
      <c r="C30" s="1302" t="s">
        <v>2523</v>
      </c>
    </row>
    <row r="31" spans="2:3">
      <c r="B31" s="685" t="s">
        <v>2538</v>
      </c>
      <c r="C31" s="1302" t="s">
        <v>2539</v>
      </c>
    </row>
    <row r="32" spans="2:3">
      <c r="B32" s="685" t="s">
        <v>2551</v>
      </c>
      <c r="C32" s="1302" t="s">
        <v>2556</v>
      </c>
    </row>
    <row r="33" spans="2:3">
      <c r="B33" s="685" t="s">
        <v>2552</v>
      </c>
      <c r="C33" s="1302" t="s">
        <v>2577</v>
      </c>
    </row>
    <row r="34" spans="2:3">
      <c r="B34" s="685" t="s">
        <v>2553</v>
      </c>
      <c r="C34" s="1302" t="s">
        <v>2593</v>
      </c>
    </row>
    <row r="35" spans="2:3">
      <c r="B35" s="685" t="s">
        <v>2554</v>
      </c>
      <c r="C35" s="1302" t="s">
        <v>2606</v>
      </c>
    </row>
    <row r="36" spans="2:3">
      <c r="B36" s="685" t="s">
        <v>2555</v>
      </c>
      <c r="C36" s="1302" t="s">
        <v>2615</v>
      </c>
    </row>
    <row r="37" spans="2:3">
      <c r="B37" s="685" t="s">
        <v>832</v>
      </c>
      <c r="C37" s="1302" t="s">
        <v>2674</v>
      </c>
    </row>
    <row r="38" spans="2:3">
      <c r="B38" s="685" t="s">
        <v>2675</v>
      </c>
      <c r="C38" s="1302" t="s">
        <v>2717</v>
      </c>
    </row>
    <row r="39" spans="2:3">
      <c r="B39" s="685" t="s">
        <v>2676</v>
      </c>
      <c r="C39" s="1302" t="s">
        <v>2721</v>
      </c>
    </row>
    <row r="40" spans="2:3">
      <c r="B40" s="685" t="s">
        <v>2677</v>
      </c>
      <c r="C40" s="1302" t="s">
        <v>2791</v>
      </c>
    </row>
    <row r="41" spans="2:3">
      <c r="B41" s="685" t="s">
        <v>2678</v>
      </c>
      <c r="C41" s="1302" t="s">
        <v>2817</v>
      </c>
    </row>
    <row r="42" spans="2:3">
      <c r="B42" s="685" t="s">
        <v>2679</v>
      </c>
      <c r="C42" s="1302" t="s">
        <v>2834</v>
      </c>
    </row>
    <row r="43" spans="2:3">
      <c r="B43" s="685" t="s">
        <v>2680</v>
      </c>
      <c r="C43" s="1302" t="s">
        <v>2842</v>
      </c>
    </row>
    <row r="44" spans="2:3">
      <c r="B44" s="685" t="s">
        <v>2681</v>
      </c>
      <c r="C44" s="1302" t="s">
        <v>2882</v>
      </c>
    </row>
    <row r="45" spans="2:3">
      <c r="B45" s="685" t="s">
        <v>2682</v>
      </c>
      <c r="C45" s="1302" t="s">
        <v>2888</v>
      </c>
    </row>
    <row r="46" spans="2:3">
      <c r="B46" s="685" t="s">
        <v>2683</v>
      </c>
      <c r="C46" s="1302" t="s">
        <v>2892</v>
      </c>
    </row>
    <row r="47" spans="2:3">
      <c r="B47" s="685" t="s">
        <v>833</v>
      </c>
      <c r="C47" s="1302" t="s">
        <v>2934</v>
      </c>
    </row>
    <row r="48" spans="2:3">
      <c r="B48" s="685" t="s">
        <v>834</v>
      </c>
      <c r="C48" s="1302" t="s">
        <v>3021</v>
      </c>
    </row>
    <row r="49" spans="2:3">
      <c r="B49" s="685" t="s">
        <v>835</v>
      </c>
      <c r="C49" s="1302" t="s">
        <v>3038</v>
      </c>
    </row>
    <row r="50" spans="2:3">
      <c r="B50" s="685" t="s">
        <v>836</v>
      </c>
      <c r="C50" s="1302" t="s">
        <v>3059</v>
      </c>
    </row>
    <row r="51" spans="2:3" ht="30">
      <c r="B51" s="1235" t="s">
        <v>837</v>
      </c>
      <c r="C51" s="1304" t="s">
        <v>3164</v>
      </c>
    </row>
    <row r="52" spans="2:3">
      <c r="B52" s="685" t="s">
        <v>838</v>
      </c>
      <c r="C52" s="1302" t="s">
        <v>3075</v>
      </c>
    </row>
    <row r="53" spans="2:3">
      <c r="B53" s="685" t="s">
        <v>839</v>
      </c>
      <c r="C53" s="1302" t="s">
        <v>3084</v>
      </c>
    </row>
    <row r="54" spans="2:3">
      <c r="B54" s="685" t="s">
        <v>2684</v>
      </c>
      <c r="C54" s="1302" t="s">
        <v>3090</v>
      </c>
    </row>
    <row r="55" spans="2:3">
      <c r="B55" s="1235" t="s">
        <v>2685</v>
      </c>
      <c r="C55" s="1305" t="s">
        <v>3165</v>
      </c>
    </row>
    <row r="56" spans="2:3">
      <c r="B56" s="685" t="s">
        <v>840</v>
      </c>
      <c r="C56" s="1302" t="s">
        <v>3101</v>
      </c>
    </row>
    <row r="57" spans="2:3">
      <c r="B57" s="685" t="s">
        <v>841</v>
      </c>
      <c r="C57" s="1302" t="s">
        <v>3103</v>
      </c>
    </row>
    <row r="58" spans="2:3">
      <c r="B58" s="685" t="s">
        <v>2686</v>
      </c>
      <c r="C58" s="1302" t="s">
        <v>3105</v>
      </c>
    </row>
    <row r="59" spans="2:3">
      <c r="B59" s="685" t="s">
        <v>842</v>
      </c>
      <c r="C59" s="1302" t="s">
        <v>3108</v>
      </c>
    </row>
    <row r="60" spans="2:3">
      <c r="B60" s="1235" t="s">
        <v>843</v>
      </c>
      <c r="C60" s="1305" t="s">
        <v>3166</v>
      </c>
    </row>
    <row r="61" spans="2:3">
      <c r="B61" s="685" t="s">
        <v>2687</v>
      </c>
      <c r="C61" s="1302" t="s">
        <v>3116</v>
      </c>
    </row>
    <row r="62" spans="2:3">
      <c r="B62" s="685" t="s">
        <v>844</v>
      </c>
      <c r="C62" s="1302" t="s">
        <v>3119</v>
      </c>
    </row>
    <row r="63" spans="2:3" ht="15.75" thickBot="1">
      <c r="B63" s="686" t="s">
        <v>2688</v>
      </c>
      <c r="C63" s="1306" t="s">
        <v>3163</v>
      </c>
    </row>
    <row r="65" spans="2:3">
      <c r="B65" s="1236"/>
      <c r="C65" s="682" t="s">
        <v>3170</v>
      </c>
    </row>
  </sheetData>
  <sheetProtection algorithmName="SHA-512" hashValue="gBQeXTVTp9eHDCWFQVhUdhNJCissXAehqBOV+OfAAewGJVywsxZUgYM0i7QCpC+n6Ie1Hfdy6enMUIw2w8DJAg==" saltValue="miBQPCE5zRvmLzOPXCEdYA==" spinCount="100000" sheet="1" objects="1" scenarios="1"/>
  <mergeCells count="1">
    <mergeCell ref="B1:C1"/>
  </mergeCells>
  <hyperlinks>
    <hyperlink ref="C4" location="'001'!Názvy_tlače" display="Príprava územia" xr:uid="{8E215FC0-FEFD-4116-A6C2-D5D1B8A91F95}"/>
    <hyperlink ref="C5" location="'121'!Názvy_tlače" display="Úprava komunikácií a chodníkov Mlynská dolina, smer Riviéra" xr:uid="{0210E1A1-1C15-48E2-A7A2-3D687756478B}"/>
    <hyperlink ref="C6" location="'122'!Názvy_tlače" display="Úprava komunikácií a chodníkov Mlynská dolina, smer Patrónka" xr:uid="{4775429F-DBCA-4E52-8909-C93A725AD612}"/>
    <hyperlink ref="C8" location="'123'!Názvy_tlače" display="Úprava križovatky Stuhová " xr:uid="{41C97FCC-A04B-4DD5-AA65-AE1A63D029C0}"/>
    <hyperlink ref="C7" location="'122.70'!Názvy_tlače" display="Preložka STL plynovodu DN80, ul. Mlynská Dolina" xr:uid="{E5532F8C-E102-434A-B3CD-0E161DCA38C5}"/>
    <hyperlink ref="C9" location="'124'!Názvy_tlače" display="Úprava komunikácií a chodníkov na Botanická ul., Karloveská ul., Nábrežie armádneho generála Ľudvíka Svobodu" xr:uid="{4F9A9F94-23F0-488F-AC1C-99B054C46CCF}"/>
    <hyperlink ref="C10" location="'125'!Názvy_tlače" display="Úprava komunikácií a chodníkov na uliciach Habánsky mlyn, Gaštanová ul., Valašská ul." xr:uid="{D3544FC5-D9C5-4B62-BA4C-5022D8D0DF74}"/>
    <hyperlink ref="C11" location="'201'!Názvy_tlače" display="Oporný múr na ulici Pri Habánskom mlyne" xr:uid="{FE8C4E09-C992-4FBC-BF16-011792AB09E4}"/>
    <hyperlink ref="C12" location="'202'!Názvy_tlače" display="Zábrany na mostných konštrukciách" xr:uid="{8AED9053-76D4-4470-AE0A-9BA7661487D7}"/>
    <hyperlink ref="C13" location="'301'!Názvy_tlače" display="Meniareň Karlova Ves" xr:uid="{31E41074-CA59-4953-85CD-7F0018BE2933}"/>
    <hyperlink ref="C14" location="'302'!Oblasť_tlače" display="Zariadenia zastávok, Informačné tabule , stavebná časť" xr:uid="{18DD80C5-EC43-4855-8936-F35B3B4C1AAE}"/>
    <hyperlink ref="C15" location="'303'!Oblasť_tlače" display="Úprava oplotenia na ulici Pri Habánskom mlyne" xr:uid="{D082C695-8FB5-424F-97AE-7A46260F1FDF}"/>
    <hyperlink ref="C16" location="'304'!Oblasť_tlače" display="Úprava oplotenia Základná škola , Dubová 1" xr:uid="{F266A13D-1F4A-41FB-B0FC-EE0B45DBB8DD}"/>
    <hyperlink ref="C17" location="'305'!Oblasť_tlače" display="Multikanál pre zabezpečenie rozvodov optiky" xr:uid="{1CF5AA5E-FEE1-4E23-86B6-2FC337776E20}"/>
    <hyperlink ref="C18" location="'306'!Oblasť_tlače" display="Úprava oplotenia súkromných vlastníkov Valašská ulica" xr:uid="{7E8A1EE7-DE2D-4884-A938-41FC97023314}"/>
    <hyperlink ref="C19" location="'501'!Oblasť_tlače" display="Dažďová kanalizácia, odvodnenie zastávky ZOO, smer Habánsky Mlyn" xr:uid="{B1B2239F-DA3B-4FF2-ACEA-0E92C0731369}"/>
    <hyperlink ref="C20" location="'502'!Oblasť_tlače" display="Odvodnenie ulíc pri Habánskom mlyne" xr:uid="{A40F0484-58A1-4598-AE90-96FEE1F9DF20}"/>
    <hyperlink ref="C21" location="'510'!Oblasť_tlače" display="Ochrana vodovodu DN150 v ul. Mlynská dolina pri ZOO" xr:uid="{BD741214-3036-468D-8217-5262A8506B3C}"/>
    <hyperlink ref="C22" location="'601'!Oblasť_tlače" display="Trolejbusové vedenie" xr:uid="{50B7FCCD-484F-43AD-AA5E-013447E60AA8}"/>
    <hyperlink ref="C23" location="'602'!Oblasť_tlače" display="Napájacie vedenie (z meniarne Karlova Ves)" xr:uid="{3270A323-528B-4E01-A403-9A3137864B23}"/>
    <hyperlink ref="C24" location="'603'!Oblasť_tlače" display="Ovládanie výhybiek trate Patrónka - Riviéra" xr:uid="{21841837-4DFD-4302-9043-99785F8AB4A9}"/>
    <hyperlink ref="C25" location="'604'!Oblasť_tlače" display="Ochranné opatrenia zariadení nachádzajúcich sa v zóne TV" xr:uid="{A4AC03A3-74CF-4668-B407-7055758AEED5}"/>
    <hyperlink ref="C26" location="'611'!Oblasť_tlače" display="Prípojka NN pre zastávku ZOO smer Botanická záhrada" xr:uid="{4F010A6A-FEC3-4E53-A3A2-7B5F50B7060F}"/>
    <hyperlink ref="C27" location="'612'!Oblasť_tlače" display="Prípojka NN pre zastávku ZOO smer Habánsky mlyn" xr:uid="{E4D20EC9-8419-4B56-8597-C49BA4C8CC41}"/>
    <hyperlink ref="C28" location="'613'!Oblasť_tlače" display="Prípojka NN pre zastávku Habánsky mlyn smer ZOO" xr:uid="{37A721F4-71FE-4599-AE04-668721CE4F5E}"/>
    <hyperlink ref="C29" location="'614'!Oblasť_tlače" display="Prípojka NN pre zastávku Habánsky mlyn smer Suchý mlyn" xr:uid="{924FCF92-A748-42B7-938C-B0D8CCB3C20A}"/>
    <hyperlink ref="C30" location="'615'!Oblasť_tlače" display="Prípojka NN pre CDS Mlynská dolina - Slávičie údolie" xr:uid="{FCF7C091-F1E6-437D-9871-74391621AD39}"/>
    <hyperlink ref="C31" location="'617'!Oblasť_tlače" display="Elektrické rozvody NN na zastávkach" xr:uid="{4868B107-5A9F-4918-9E92-E11636BE4B17}"/>
    <hyperlink ref="C32" location="'618'!Oblasť_tlače" display="Informačný systém na zastávkach – Informačné tabule" xr:uid="{2D5F5A43-1F9E-4605-BB01-2FD57C98A797}"/>
    <hyperlink ref="C33" location="'619'!Oblasť_tlače" display="Preložka a ochrana VN vedení" xr:uid="{7BE07E33-3416-4222-BCBA-FBE21A0F8064}"/>
    <hyperlink ref="C34" location="'620'!Oblasť_tlače" display="Preložka a ochrana NN vedení" xr:uid="{E979413B-016E-4318-A152-E4EC5ACF0543}"/>
    <hyperlink ref="C35" location="'621'!Oblasť_tlače" display="Preložka NN vzdušného vedenia" xr:uid="{042D2B06-E011-4110-B1C6-BEC3F8944565}"/>
    <hyperlink ref="C36" location="'622'!Oblasť_tlače" display="Preložka NN káblového vedenia pre nájomnú prevádzku" xr:uid="{27991C18-E50A-4621-9244-C76ED0AFD0A3}"/>
    <hyperlink ref="C37" location="'631'!Oblasť_tlače" display="Prekládka verejného osvetlenia" xr:uid="{D47FA469-4995-4545-809C-3F2C494EED97}"/>
    <hyperlink ref="C38" location="'651'!Oblasť_tlače" display="Optický kábel pre ovládanie meniarne a diaľkový dohľad nad výhybkami" xr:uid="{5BCF7603-151B-47C7-B408-2A07C81C6000}"/>
    <hyperlink ref="C39" location="'652'!Oblasť_tlače" display="Optický kábel pre informačný systém na zastávkach" xr:uid="{70942121-F80A-4452-92D7-67429FDF2C1D}"/>
    <hyperlink ref="C40" location="'653'!Oblasť_tlače" display="Optické káble CDS Úsek Valašská - Nábr. arm. gen. L. Svobodu / Botanická " xr:uid="{33A9D8FB-1594-4189-89E2-5C2258916720}"/>
    <hyperlink ref="C41" location="'654'!Oblasť_tlače" display="Ochrana a preložky vedení Slovak Telekom, a.s." xr:uid="{0279DA3E-31AE-41C1-8E43-44FA94EC0ADC}"/>
    <hyperlink ref="C42" location="'655'!Oblasť_tlače" display="Ochrana a preložky vedení SWAN" xr:uid="{BE5AB2CD-A70D-46B3-BBCE-3C71D617A633}"/>
    <hyperlink ref="C43" location="'656'!Oblasť_tlače" display="Ochrana a preložky vedení UPC" xr:uid="{E8AD264E-689C-4901-AAD1-AD6FFFE39B68}"/>
    <hyperlink ref="C44" location="'662'!A1" display="Kamerový dohľad križovatky K417" xr:uid="{57D60737-A538-4C5C-B51E-B2F56E54C07F}"/>
    <hyperlink ref="C45" location="'663'!Názvy_tlače" display="Kamerový dohľad križovatky K4121" xr:uid="{0A42FACC-73BE-499A-8C51-16EED9697612}"/>
    <hyperlink ref="C46" location="'664'!Názvy_tlače" display="Kamerový dohľad križovatky K4122" xr:uid="{0F12C2FD-1654-43CC-A5D4-80EBE00F5FAB}"/>
    <hyperlink ref="C47" location="'671'!Názvy_tlače" display="Križ.č. 490 Úprava CDS Mlynská dolina - Valašská" xr:uid="{E3BA41E1-BE48-45B2-AA69-0EA9EC355D63}"/>
    <hyperlink ref="C48" location="'672'!Názvy_tlače" display="Križ.č. 417 Modernizácia CDS Mlynská dolina - Pri Habánskom mlyne" xr:uid="{AB9B9D11-FA72-4327-8754-7BE7973074AF}"/>
    <hyperlink ref="C49" location="'673'!Názvy_tlače" display="Križ.č. 4121 Modernizácia CDS Mlynská dolina - Staré grunty" xr:uid="{BAE6261A-D692-4CED-9234-F655054949B6}"/>
    <hyperlink ref="C50" location="'674'!Názvy_tlače" display="Križ.č. 4122 Modernizácia CDS Mlynská dolina - Slávičie údolie" xr:uid="{07493F03-9070-4B04-80C2-33A79148DC00}"/>
    <hyperlink ref="C52" location="'676'!Názvy_tlače" display="Križ.č. 441 Úprava CDS Mlynská dolina - Most Lanfranconi" xr:uid="{6D2D2DE9-4FE9-49A5-9CA9-93008D2F8C35}"/>
    <hyperlink ref="C53" location="'677'!Názvy_tlače" display="Križ.č. 442 Úprava CDS Botanická - Internát Družba" xr:uid="{AD1B7C9F-0243-4CF2-917F-503D219467A0}"/>
    <hyperlink ref="C54" location="'678'!Názvy_tlače" display="Križ.č. 443 Úprava CDS Karloveská - Riviéra" xr:uid="{44C8886B-7454-4DEF-BD74-DD9FFD47F791}"/>
    <hyperlink ref="C56" location="'682'!Názvy_tlače" display="Ochranné opatrenia prvkov CDS v zóne TV a ZP v K417" xr:uid="{D621343E-1F2B-4F6E-A3B0-B2C1BBC85A2E}"/>
    <hyperlink ref="C57" location="'683'!Názvy_tlače" display="Ochranné opatrenia prvkov CDS v zóne TV a ZP v K4121" xr:uid="{6A2F5911-A53F-4D8F-A0E5-94B6BA96A717}"/>
    <hyperlink ref="C58" location="'684'!Názvy_tlače" display="Ochranné opatrenia prvkov CDS v zóne TV a ZP v K4122" xr:uid="{33C70E92-96E4-4E76-A7EF-F67B6877D322}"/>
    <hyperlink ref="C59" location="'685'!Názvy_tlače" display="Úprava ochranných opatrení prvkov CDS v zóne TV a ZP v K662" xr:uid="{3777DCF7-A8CF-42B7-8449-E3C95E28E82D}"/>
    <hyperlink ref="C61" location="'687'!Názvy_tlače" display="Úprava ochranných opatrení prvkov CDS v zóne TV a ZP v K442" xr:uid="{47208823-9DB5-4B8E-9ADF-83E3460C2A2C}"/>
    <hyperlink ref="C62" location="'688'!Názvy_tlače" display="Úprava ochranných opatrení prvkov CDS v zóne TV a ZP v K443" xr:uid="{1AA1A6E8-5A63-4DF2-B4A8-799D3BD82BB9}"/>
    <hyperlink ref="C63" location="'801'!Názvy_tlače" display="Náhradná výsadba v k.ú. Staré mesto" xr:uid="{A2E8B666-E72A-48EC-9AC7-DE7FC6DE98E5}"/>
    <hyperlink ref="C51" location="'675'!Názvy_tlače" display="Križ.č. 662 Úprava CDS Nábr. arm. gen. Svobodu - Ml. dolina - Most Lanfranconi" xr:uid="{5F54D951-B285-408D-855A-AED2665F48BC}"/>
    <hyperlink ref="C55" location="'681'!Názvy_tlače" display="Úprava ochranných opatrení prvkov CDS v zóne TV a ZP v K490" xr:uid="{F3B23F8F-EC7A-4A86-B65A-9FC1890C8832}"/>
    <hyperlink ref="C60" location="'686'!Názvy_tlače" display="Úprava ochranných opatrení prvkov CDS v zóne TV a ZP v K441" xr:uid="{61E7C539-08CF-4F37-A007-449C024CA25A}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4B2BC-4CAB-4C13-8BC2-D05848A185A3}">
  <sheetPr codeName="Hárok18"/>
  <dimension ref="A1:Q11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17">
      <c r="A1" s="2" t="s">
        <v>1</v>
      </c>
      <c r="B1" s="2"/>
      <c r="C1" s="3"/>
      <c r="D1" s="4"/>
      <c r="E1" s="5" t="s">
        <v>2222</v>
      </c>
      <c r="G1" s="7"/>
      <c r="H1" s="8"/>
    </row>
    <row r="2" spans="1:17" ht="15.75" thickBot="1">
      <c r="A2" s="9" t="s">
        <v>2</v>
      </c>
      <c r="B2" s="2"/>
      <c r="C2" s="3"/>
      <c r="D2" s="4"/>
      <c r="E2" s="10">
        <v>2212</v>
      </c>
      <c r="G2" s="11"/>
      <c r="H2" s="12"/>
    </row>
    <row r="3" spans="1:17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17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17">
      <c r="A5" s="16"/>
      <c r="B5" s="17"/>
      <c r="C5" s="17"/>
      <c r="D5" s="18"/>
      <c r="E5" s="19"/>
      <c r="F5" s="20"/>
      <c r="G5" s="21"/>
      <c r="H5" s="22"/>
    </row>
    <row r="6" spans="1:17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17">
      <c r="A7" s="268"/>
      <c r="B7" s="31"/>
      <c r="C7" s="31"/>
      <c r="D7" s="32"/>
      <c r="E7" s="33"/>
      <c r="F7" s="28"/>
      <c r="G7" s="29"/>
      <c r="H7" s="30"/>
    </row>
    <row r="8" spans="1:17">
      <c r="A8" s="34">
        <f>MAX(A$1:A7)+1</f>
        <v>1</v>
      </c>
      <c r="B8" s="31"/>
      <c r="C8" s="36" t="s">
        <v>228</v>
      </c>
      <c r="D8" s="37"/>
      <c r="E8" s="38" t="s">
        <v>229</v>
      </c>
      <c r="F8" s="39"/>
      <c r="G8" s="40" t="s">
        <v>18</v>
      </c>
      <c r="H8" s="128">
        <v>75.25</v>
      </c>
    </row>
    <row r="9" spans="1:17">
      <c r="A9" s="145"/>
      <c r="B9" s="31"/>
      <c r="C9" s="36"/>
      <c r="D9" s="37"/>
      <c r="E9" s="38"/>
      <c r="F9" s="46">
        <f>F30</f>
        <v>75.25</v>
      </c>
      <c r="G9" s="40"/>
      <c r="H9" s="30"/>
    </row>
    <row r="10" spans="1:17">
      <c r="A10" s="268"/>
      <c r="B10" s="31"/>
      <c r="C10" s="31"/>
      <c r="D10" s="32"/>
      <c r="E10" s="33"/>
      <c r="F10" s="28"/>
      <c r="G10" s="29"/>
      <c r="H10" s="30"/>
    </row>
    <row r="11" spans="1:17" s="98" customFormat="1">
      <c r="A11" s="95"/>
      <c r="B11" s="35" t="s">
        <v>72</v>
      </c>
      <c r="C11" s="93"/>
      <c r="D11" s="94"/>
      <c r="E11" s="50" t="s">
        <v>73</v>
      </c>
      <c r="F11" s="100"/>
      <c r="G11" s="101"/>
      <c r="H11" s="42"/>
      <c r="I11"/>
      <c r="J11"/>
      <c r="K11"/>
      <c r="L11"/>
      <c r="Q11"/>
    </row>
    <row r="12" spans="1:17" s="98" customFormat="1">
      <c r="A12" s="95"/>
      <c r="B12" s="35"/>
      <c r="C12" s="93"/>
      <c r="D12" s="94"/>
      <c r="E12" s="50"/>
      <c r="F12" s="100"/>
      <c r="G12" s="101"/>
      <c r="H12" s="42"/>
      <c r="I12"/>
      <c r="J12"/>
      <c r="K12"/>
      <c r="L12"/>
      <c r="Q12"/>
    </row>
    <row r="13" spans="1:17">
      <c r="A13" s="34">
        <f>MAX(A$1:A11)+1</f>
        <v>2</v>
      </c>
      <c r="B13" s="43"/>
      <c r="C13" s="36" t="s">
        <v>143</v>
      </c>
      <c r="D13" s="37"/>
      <c r="E13" s="38" t="s">
        <v>144</v>
      </c>
      <c r="F13" s="39"/>
      <c r="G13" s="40" t="s">
        <v>145</v>
      </c>
      <c r="H13" s="64">
        <v>80</v>
      </c>
    </row>
    <row r="14" spans="1:17" ht="25.5">
      <c r="A14" s="72"/>
      <c r="B14" s="152"/>
      <c r="C14" s="153"/>
      <c r="D14" s="67" t="s">
        <v>146</v>
      </c>
      <c r="E14" s="71" t="s">
        <v>147</v>
      </c>
      <c r="F14" s="61"/>
      <c r="G14" s="62" t="s">
        <v>145</v>
      </c>
      <c r="H14" s="83">
        <v>80</v>
      </c>
    </row>
    <row r="15" spans="1:17" s="98" customFormat="1">
      <c r="A15" s="95"/>
      <c r="B15" s="35"/>
      <c r="C15" s="93"/>
      <c r="D15" s="94"/>
      <c r="E15" s="65" t="s">
        <v>549</v>
      </c>
      <c r="F15" s="212">
        <v>80</v>
      </c>
      <c r="G15" s="101"/>
      <c r="H15" s="42"/>
      <c r="I15"/>
      <c r="J15"/>
      <c r="K15"/>
      <c r="L15"/>
      <c r="Q15"/>
    </row>
    <row r="16" spans="1:17" s="98" customFormat="1">
      <c r="A16" s="95"/>
      <c r="B16" s="35"/>
      <c r="C16" s="93"/>
      <c r="D16" s="94"/>
      <c r="E16" s="50"/>
      <c r="F16" s="100"/>
      <c r="G16" s="101"/>
      <c r="H16" s="42"/>
      <c r="I16"/>
      <c r="J16"/>
      <c r="K16"/>
      <c r="L16"/>
      <c r="Q16"/>
    </row>
    <row r="17" spans="1:17" ht="25.5">
      <c r="A17" s="34">
        <f>MAX(A$1:A16)+1</f>
        <v>3</v>
      </c>
      <c r="B17" s="152"/>
      <c r="C17" s="36" t="s">
        <v>148</v>
      </c>
      <c r="D17" s="37"/>
      <c r="E17" s="38" t="s">
        <v>149</v>
      </c>
      <c r="F17" s="39"/>
      <c r="G17" s="40" t="s">
        <v>36</v>
      </c>
      <c r="H17" s="64">
        <v>100</v>
      </c>
    </row>
    <row r="18" spans="1:17" ht="25.5">
      <c r="A18" s="72"/>
      <c r="B18" s="152"/>
      <c r="C18" s="153"/>
      <c r="D18" s="67" t="s">
        <v>517</v>
      </c>
      <c r="E18" s="71" t="s">
        <v>518</v>
      </c>
      <c r="F18" s="61"/>
      <c r="G18" s="62" t="s">
        <v>36</v>
      </c>
      <c r="H18" s="83">
        <v>100</v>
      </c>
    </row>
    <row r="19" spans="1:17" s="98" customFormat="1">
      <c r="A19" s="95"/>
      <c r="B19" s="35"/>
      <c r="C19" s="93"/>
      <c r="D19" s="94"/>
      <c r="E19" s="65" t="s">
        <v>539</v>
      </c>
      <c r="F19" s="224">
        <v>100</v>
      </c>
      <c r="G19" s="101"/>
      <c r="H19" s="42"/>
      <c r="I19"/>
      <c r="J19"/>
      <c r="K19"/>
      <c r="L19"/>
      <c r="Q19"/>
    </row>
    <row r="20" spans="1:17" s="98" customFormat="1">
      <c r="A20" s="95"/>
      <c r="B20" s="35"/>
      <c r="C20" s="93"/>
      <c r="D20" s="94"/>
      <c r="E20" s="65"/>
      <c r="F20" s="212"/>
      <c r="G20" s="101"/>
      <c r="H20" s="42"/>
      <c r="I20"/>
      <c r="J20"/>
      <c r="K20"/>
      <c r="L20"/>
      <c r="Q20"/>
    </row>
    <row r="21" spans="1:17">
      <c r="A21" s="34">
        <f>MAX(A$1:A20)+1</f>
        <v>4</v>
      </c>
      <c r="B21" s="43"/>
      <c r="C21" s="36" t="s">
        <v>162</v>
      </c>
      <c r="D21" s="37"/>
      <c r="E21" s="38" t="s">
        <v>163</v>
      </c>
      <c r="F21" s="39"/>
      <c r="G21" s="40" t="s">
        <v>18</v>
      </c>
      <c r="H21" s="64">
        <v>184.5</v>
      </c>
      <c r="I21" s="689"/>
    </row>
    <row r="22" spans="1:17">
      <c r="A22" s="72"/>
      <c r="B22" s="73"/>
      <c r="C22" s="66"/>
      <c r="D22" s="67" t="s">
        <v>164</v>
      </c>
      <c r="E22" s="71" t="s">
        <v>165</v>
      </c>
      <c r="F22" s="61"/>
      <c r="G22" s="62" t="s">
        <v>18</v>
      </c>
      <c r="H22" s="83">
        <v>184.5</v>
      </c>
    </row>
    <row r="23" spans="1:17" s="111" customFormat="1" ht="51">
      <c r="A23" s="179"/>
      <c r="B23" s="256"/>
      <c r="C23" s="79"/>
      <c r="D23" s="67"/>
      <c r="E23" s="77" t="s">
        <v>2223</v>
      </c>
      <c r="F23" s="231">
        <f>1*4*1.5*16</f>
        <v>96</v>
      </c>
      <c r="G23" s="62"/>
      <c r="H23" s="246"/>
      <c r="I23"/>
      <c r="J23"/>
      <c r="Q23"/>
    </row>
    <row r="24" spans="1:17" s="111" customFormat="1" ht="38.25">
      <c r="A24" s="179"/>
      <c r="B24" s="256"/>
      <c r="C24" s="79"/>
      <c r="D24" s="67"/>
      <c r="E24" s="77" t="s">
        <v>2224</v>
      </c>
      <c r="F24" s="231">
        <f>1*5*1.5*3</f>
        <v>22.5</v>
      </c>
      <c r="G24" s="62"/>
      <c r="H24" s="246"/>
      <c r="I24"/>
      <c r="J24"/>
      <c r="Q24"/>
    </row>
    <row r="25" spans="1:17" s="111" customFormat="1" ht="51">
      <c r="A25" s="179"/>
      <c r="B25" s="256"/>
      <c r="C25" s="79"/>
      <c r="D25" s="67"/>
      <c r="E25" s="77" t="s">
        <v>2225</v>
      </c>
      <c r="F25" s="257">
        <f>1*4*1.5*11</f>
        <v>66</v>
      </c>
      <c r="G25" s="62"/>
      <c r="H25" s="246"/>
      <c r="I25"/>
      <c r="J25"/>
      <c r="Q25"/>
    </row>
    <row r="26" spans="1:17" s="111" customFormat="1">
      <c r="A26" s="179"/>
      <c r="B26" s="256"/>
      <c r="C26" s="79"/>
      <c r="D26" s="67"/>
      <c r="E26" s="77"/>
      <c r="F26" s="231">
        <f>SUM(F23:F25)</f>
        <v>184.5</v>
      </c>
      <c r="G26" s="62"/>
      <c r="H26" s="246"/>
      <c r="Q26"/>
    </row>
    <row r="27" spans="1:17" s="111" customFormat="1">
      <c r="A27" s="179"/>
      <c r="B27" s="256"/>
      <c r="C27" s="79"/>
      <c r="D27" s="67"/>
      <c r="E27" s="77"/>
      <c r="F27" s="81"/>
      <c r="G27" s="62"/>
      <c r="H27" s="246"/>
      <c r="Q27"/>
    </row>
    <row r="28" spans="1:17">
      <c r="A28" s="34">
        <f>MAX(A$1:A27)+1</f>
        <v>5</v>
      </c>
      <c r="B28" s="43"/>
      <c r="C28" s="36" t="s">
        <v>58</v>
      </c>
      <c r="D28" s="37"/>
      <c r="E28" s="38" t="s">
        <v>59</v>
      </c>
      <c r="F28" s="39"/>
      <c r="G28" s="40" t="s">
        <v>18</v>
      </c>
      <c r="H28" s="258">
        <v>75.25</v>
      </c>
    </row>
    <row r="29" spans="1:17">
      <c r="A29" s="72"/>
      <c r="B29" s="73"/>
      <c r="C29" s="66"/>
      <c r="D29" s="67" t="s">
        <v>60</v>
      </c>
      <c r="E29" s="71" t="s">
        <v>61</v>
      </c>
      <c r="F29" s="61"/>
      <c r="G29" s="62" t="s">
        <v>18</v>
      </c>
      <c r="H29" s="259">
        <v>75.25</v>
      </c>
    </row>
    <row r="30" spans="1:17" s="98" customFormat="1">
      <c r="A30" s="95"/>
      <c r="B30" s="35"/>
      <c r="C30" s="93"/>
      <c r="D30" s="94"/>
      <c r="E30" s="77" t="s">
        <v>1212</v>
      </c>
      <c r="F30" s="104">
        <f>F73</f>
        <v>75.25</v>
      </c>
      <c r="G30" s="97"/>
      <c r="H30" s="83"/>
      <c r="I30"/>
      <c r="J30"/>
      <c r="K30"/>
      <c r="L30"/>
      <c r="Q30"/>
    </row>
    <row r="31" spans="1:17" s="98" customFormat="1">
      <c r="A31" s="95"/>
      <c r="B31" s="35"/>
      <c r="C31" s="93"/>
      <c r="D31" s="94"/>
      <c r="E31" s="65"/>
      <c r="F31" s="229"/>
      <c r="G31" s="97"/>
      <c r="H31" s="42"/>
      <c r="I31"/>
      <c r="J31"/>
      <c r="K31"/>
      <c r="L31"/>
      <c r="Q31"/>
    </row>
    <row r="32" spans="1:17">
      <c r="A32" s="34">
        <f>MAX(A$1:A31)+1</f>
        <v>6</v>
      </c>
      <c r="B32" s="43"/>
      <c r="C32" s="36" t="s">
        <v>78</v>
      </c>
      <c r="D32" s="37"/>
      <c r="E32" s="38" t="s">
        <v>79</v>
      </c>
      <c r="F32" s="39"/>
      <c r="G32" s="40" t="s">
        <v>18</v>
      </c>
      <c r="H32" s="64">
        <v>109.25</v>
      </c>
    </row>
    <row r="33" spans="1:17" s="111" customFormat="1">
      <c r="A33" s="179"/>
      <c r="B33" s="256"/>
      <c r="C33" s="79"/>
      <c r="D33" s="67" t="s">
        <v>80</v>
      </c>
      <c r="E33" s="71" t="s">
        <v>81</v>
      </c>
      <c r="F33" s="61"/>
      <c r="G33" s="62" t="s">
        <v>18</v>
      </c>
      <c r="H33" s="124">
        <v>109.25</v>
      </c>
      <c r="Q33"/>
    </row>
    <row r="34" spans="1:17" s="111" customFormat="1" ht="25.5">
      <c r="A34" s="179"/>
      <c r="B34" s="256"/>
      <c r="C34" s="79"/>
      <c r="D34" s="67"/>
      <c r="E34" s="121" t="s">
        <v>2226</v>
      </c>
      <c r="F34" s="231"/>
      <c r="G34" s="62"/>
      <c r="H34" s="246"/>
      <c r="Q34"/>
    </row>
    <row r="35" spans="1:17" s="111" customFormat="1">
      <c r="A35" s="179"/>
      <c r="B35" s="256"/>
      <c r="C35" s="79"/>
      <c r="D35" s="67"/>
      <c r="E35" s="77" t="s">
        <v>519</v>
      </c>
      <c r="F35" s="231">
        <f>F23</f>
        <v>96</v>
      </c>
      <c r="G35" s="62"/>
      <c r="H35" s="246"/>
      <c r="Q35"/>
    </row>
    <row r="36" spans="1:17" s="111" customFormat="1">
      <c r="A36" s="179"/>
      <c r="B36" s="256"/>
      <c r="C36" s="79"/>
      <c r="D36" s="67"/>
      <c r="E36" s="77" t="s">
        <v>169</v>
      </c>
      <c r="F36" s="231">
        <f>-F104</f>
        <v>-9.6</v>
      </c>
      <c r="G36" s="62"/>
      <c r="H36" s="246"/>
      <c r="Q36"/>
    </row>
    <row r="37" spans="1:17" s="111" customFormat="1">
      <c r="A37" s="179"/>
      <c r="B37" s="256"/>
      <c r="C37" s="79"/>
      <c r="D37" s="67"/>
      <c r="E37" s="77" t="s">
        <v>520</v>
      </c>
      <c r="F37" s="231">
        <f>-F59</f>
        <v>-27.513856000000001</v>
      </c>
      <c r="G37" s="62"/>
      <c r="H37" s="246"/>
      <c r="Q37"/>
    </row>
    <row r="38" spans="1:17" s="111" customFormat="1">
      <c r="A38" s="179"/>
      <c r="B38" s="256"/>
      <c r="C38" s="79"/>
      <c r="D38" s="67"/>
      <c r="E38" s="77" t="s">
        <v>2227</v>
      </c>
      <c r="F38" s="257">
        <f>-(0.08*0.08*3.14*4)*16</f>
        <v>-1.2861440000000002</v>
      </c>
      <c r="G38" s="62"/>
      <c r="H38" s="246"/>
      <c r="Q38"/>
    </row>
    <row r="39" spans="1:17" s="111" customFormat="1">
      <c r="A39" s="179"/>
      <c r="B39" s="256"/>
      <c r="C39" s="79"/>
      <c r="D39" s="67"/>
      <c r="E39" s="77"/>
      <c r="F39" s="231">
        <f>SUM(F35:F38)</f>
        <v>57.6</v>
      </c>
      <c r="G39" s="62"/>
      <c r="H39" s="246"/>
      <c r="Q39"/>
    </row>
    <row r="40" spans="1:17" s="111" customFormat="1">
      <c r="A40" s="179"/>
      <c r="B40" s="256"/>
      <c r="C40" s="79"/>
      <c r="D40" s="67"/>
      <c r="E40" s="77"/>
      <c r="F40" s="231"/>
      <c r="G40" s="62"/>
      <c r="H40" s="246"/>
      <c r="Q40"/>
    </row>
    <row r="41" spans="1:17" s="111" customFormat="1" ht="25.5">
      <c r="A41" s="179"/>
      <c r="B41" s="256"/>
      <c r="C41" s="79"/>
      <c r="D41" s="67"/>
      <c r="E41" s="121" t="s">
        <v>2228</v>
      </c>
      <c r="F41" s="231"/>
      <c r="G41" s="62"/>
      <c r="H41" s="246"/>
      <c r="Q41"/>
    </row>
    <row r="42" spans="1:17" s="111" customFormat="1">
      <c r="A42" s="179"/>
      <c r="B42" s="256"/>
      <c r="C42" s="79"/>
      <c r="D42" s="67"/>
      <c r="E42" s="77" t="s">
        <v>519</v>
      </c>
      <c r="F42" s="231">
        <f>F24</f>
        <v>22.5</v>
      </c>
      <c r="G42" s="62"/>
      <c r="H42" s="246"/>
      <c r="Q42"/>
    </row>
    <row r="43" spans="1:17" s="111" customFormat="1">
      <c r="A43" s="179"/>
      <c r="B43" s="256"/>
      <c r="C43" s="79"/>
      <c r="D43" s="67"/>
      <c r="E43" s="77" t="s">
        <v>169</v>
      </c>
      <c r="F43" s="231">
        <f>-F105</f>
        <v>-2.25</v>
      </c>
      <c r="G43" s="62"/>
      <c r="H43" s="246"/>
      <c r="Q43"/>
    </row>
    <row r="44" spans="1:17" s="111" customFormat="1">
      <c r="A44" s="179"/>
      <c r="B44" s="256"/>
      <c r="C44" s="79"/>
      <c r="D44" s="67"/>
      <c r="E44" s="77" t="s">
        <v>520</v>
      </c>
      <c r="F44" s="231">
        <f>-F60</f>
        <v>-5.88225</v>
      </c>
      <c r="G44" s="62"/>
      <c r="H44" s="246"/>
      <c r="Q44"/>
    </row>
    <row r="45" spans="1:17" s="111" customFormat="1">
      <c r="A45" s="179"/>
      <c r="B45" s="256"/>
      <c r="C45" s="79"/>
      <c r="D45" s="67"/>
      <c r="E45" s="77" t="s">
        <v>2229</v>
      </c>
      <c r="F45" s="257">
        <f>-(0.05*0.05*3.14*5)*3</f>
        <v>-0.11775000000000002</v>
      </c>
      <c r="G45" s="62"/>
      <c r="H45" s="246"/>
      <c r="Q45"/>
    </row>
    <row r="46" spans="1:17" s="111" customFormat="1">
      <c r="A46" s="179"/>
      <c r="B46" s="256"/>
      <c r="C46" s="79"/>
      <c r="D46" s="67"/>
      <c r="E46" s="77"/>
      <c r="F46" s="231">
        <f>SUM(F42:F45)</f>
        <v>14.25</v>
      </c>
      <c r="G46" s="62"/>
      <c r="H46" s="246"/>
      <c r="Q46"/>
    </row>
    <row r="47" spans="1:17" s="111" customFormat="1">
      <c r="A47" s="179"/>
      <c r="B47" s="256"/>
      <c r="C47" s="79"/>
      <c r="D47" s="67"/>
      <c r="E47" s="77"/>
      <c r="F47" s="257"/>
      <c r="G47" s="62"/>
      <c r="H47" s="246"/>
      <c r="Q47"/>
    </row>
    <row r="48" spans="1:17" s="111" customFormat="1" ht="25.5">
      <c r="A48" s="179"/>
      <c r="B48" s="256"/>
      <c r="C48" s="79"/>
      <c r="D48" s="67"/>
      <c r="E48" s="121" t="s">
        <v>2230</v>
      </c>
      <c r="F48" s="257"/>
      <c r="G48" s="62"/>
      <c r="H48" s="246"/>
      <c r="Q48"/>
    </row>
    <row r="49" spans="1:17" s="111" customFormat="1">
      <c r="A49" s="179"/>
      <c r="B49" s="256"/>
      <c r="C49" s="79"/>
      <c r="D49" s="67"/>
      <c r="E49" s="77" t="s">
        <v>519</v>
      </c>
      <c r="F49" s="231">
        <f>F25</f>
        <v>66</v>
      </c>
      <c r="G49" s="62"/>
      <c r="H49" s="246"/>
      <c r="Q49"/>
    </row>
    <row r="50" spans="1:17" s="111" customFormat="1">
      <c r="A50" s="179"/>
      <c r="B50" s="256"/>
      <c r="C50" s="79"/>
      <c r="D50" s="67"/>
      <c r="E50" s="77" t="s">
        <v>169</v>
      </c>
      <c r="F50" s="231">
        <f>-F106</f>
        <v>-6.6</v>
      </c>
      <c r="G50" s="62"/>
      <c r="H50" s="246"/>
      <c r="Q50"/>
    </row>
    <row r="51" spans="1:17" s="111" customFormat="1">
      <c r="A51" s="179"/>
      <c r="B51" s="256"/>
      <c r="C51" s="79"/>
      <c r="D51" s="67"/>
      <c r="E51" s="77" t="s">
        <v>520</v>
      </c>
      <c r="F51" s="231">
        <f>-F61</f>
        <v>-20.618400000000001</v>
      </c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2231</v>
      </c>
      <c r="F52" s="257">
        <f>-(0.1*0.1*3.14*4)*11</f>
        <v>-1.3816000000000002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/>
      <c r="F53" s="231">
        <f>SUM(F49:F52)</f>
        <v>37.4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91" t="s">
        <v>41</v>
      </c>
      <c r="F54" s="151">
        <f>F39+F46+F53</f>
        <v>109.25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77"/>
      <c r="F55" s="231"/>
      <c r="G55" s="62"/>
      <c r="H55" s="246"/>
      <c r="Q55"/>
    </row>
    <row r="56" spans="1:17">
      <c r="A56" s="34">
        <f>MAX(A$1:A55)+1</f>
        <v>7</v>
      </c>
      <c r="B56" s="43"/>
      <c r="C56" s="36" t="s">
        <v>170</v>
      </c>
      <c r="D56" s="37"/>
      <c r="E56" s="38" t="s">
        <v>171</v>
      </c>
      <c r="F56" s="39"/>
      <c r="G56" s="40" t="s">
        <v>18</v>
      </c>
      <c r="H56" s="52">
        <v>54.01</v>
      </c>
    </row>
    <row r="57" spans="1:17">
      <c r="A57" s="72"/>
      <c r="B57" s="73"/>
      <c r="C57" s="66"/>
      <c r="D57" s="67" t="s">
        <v>522</v>
      </c>
      <c r="E57" s="71" t="s">
        <v>523</v>
      </c>
      <c r="F57" s="61"/>
      <c r="G57" s="62" t="s">
        <v>18</v>
      </c>
      <c r="H57" s="99">
        <v>54.01</v>
      </c>
    </row>
    <row r="58" spans="1:17" s="111" customFormat="1">
      <c r="A58" s="179"/>
      <c r="B58" s="256"/>
      <c r="C58" s="79"/>
      <c r="D58" s="67"/>
      <c r="E58" s="121" t="s">
        <v>524</v>
      </c>
      <c r="F58" s="231"/>
      <c r="G58" s="62"/>
      <c r="H58" s="246"/>
      <c r="Q58"/>
    </row>
    <row r="59" spans="1:17" s="111" customFormat="1" ht="25.5">
      <c r="A59" s="179"/>
      <c r="B59" s="256"/>
      <c r="C59" s="79"/>
      <c r="D59" s="67"/>
      <c r="E59" s="77" t="s">
        <v>2232</v>
      </c>
      <c r="F59" s="231">
        <f>(1*0.45*4)*16-(0.08*0.08*3.14*4)*16</f>
        <v>27.513856000000001</v>
      </c>
      <c r="G59" s="62"/>
      <c r="H59" s="246"/>
      <c r="Q59"/>
    </row>
    <row r="60" spans="1:17" s="111" customFormat="1" ht="25.5">
      <c r="A60" s="179"/>
      <c r="B60" s="256"/>
      <c r="C60" s="79"/>
      <c r="D60" s="67"/>
      <c r="E60" s="77" t="s">
        <v>2233</v>
      </c>
      <c r="F60" s="231">
        <f>(1*0.4*5)*3-(0.05*0.05*3.14*5)*3</f>
        <v>5.88225</v>
      </c>
      <c r="G60" s="62"/>
      <c r="H60" s="246"/>
      <c r="Q60"/>
    </row>
    <row r="61" spans="1:17" s="111" customFormat="1" ht="25.5">
      <c r="A61" s="179"/>
      <c r="B61" s="256"/>
      <c r="C61" s="79"/>
      <c r="D61" s="67"/>
      <c r="E61" s="77" t="s">
        <v>2234</v>
      </c>
      <c r="F61" s="257">
        <f>(1*0.5*4)*11-(0.1*0.1*3.14*4)*11</f>
        <v>20.618400000000001</v>
      </c>
      <c r="G61" s="62"/>
      <c r="H61" s="246"/>
      <c r="Q61"/>
    </row>
    <row r="62" spans="1:17" s="111" customFormat="1">
      <c r="A62" s="179"/>
      <c r="B62" s="256"/>
      <c r="C62" s="79"/>
      <c r="D62" s="67"/>
      <c r="E62" s="77"/>
      <c r="F62" s="231">
        <f>SUM(F59:F61)</f>
        <v>54.014506000000004</v>
      </c>
      <c r="G62" s="62"/>
      <c r="H62" s="246"/>
      <c r="Q62"/>
    </row>
    <row r="63" spans="1:17" s="111" customFormat="1">
      <c r="A63" s="179"/>
      <c r="B63" s="256"/>
      <c r="C63" s="79"/>
      <c r="D63" s="67"/>
      <c r="E63" s="77"/>
      <c r="F63" s="231"/>
      <c r="G63" s="62"/>
      <c r="H63" s="246"/>
      <c r="Q63"/>
    </row>
    <row r="64" spans="1:17">
      <c r="A64" s="34">
        <f>MAX(A$1:A63)+1</f>
        <v>8</v>
      </c>
      <c r="B64" s="43"/>
      <c r="C64" s="36" t="s">
        <v>175</v>
      </c>
      <c r="D64" s="37"/>
      <c r="E64" s="38" t="s">
        <v>176</v>
      </c>
      <c r="F64" s="39"/>
      <c r="G64" s="40" t="s">
        <v>18</v>
      </c>
      <c r="H64" s="52">
        <v>218.5</v>
      </c>
    </row>
    <row r="65" spans="1:17" ht="25.5">
      <c r="A65" s="72"/>
      <c r="B65" s="73"/>
      <c r="C65" s="66"/>
      <c r="D65" s="67" t="s">
        <v>177</v>
      </c>
      <c r="E65" s="71" t="s">
        <v>178</v>
      </c>
      <c r="F65" s="61"/>
      <c r="G65" s="62" t="s">
        <v>18</v>
      </c>
      <c r="H65" s="99">
        <v>218.5</v>
      </c>
    </row>
    <row r="66" spans="1:17">
      <c r="A66" s="72"/>
      <c r="B66" s="236"/>
      <c r="C66" s="66"/>
      <c r="D66" s="67"/>
      <c r="E66" s="65" t="s">
        <v>525</v>
      </c>
      <c r="F66" s="41">
        <f>F54*2</f>
        <v>218.5</v>
      </c>
      <c r="G66" s="62"/>
      <c r="H66" s="42"/>
    </row>
    <row r="67" spans="1:17" s="111" customFormat="1">
      <c r="A67" s="179"/>
      <c r="B67" s="256"/>
      <c r="C67" s="79"/>
      <c r="D67" s="67"/>
      <c r="E67" s="77"/>
      <c r="F67" s="231"/>
      <c r="G67" s="62"/>
      <c r="H67" s="246"/>
      <c r="Q67"/>
    </row>
    <row r="68" spans="1:17">
      <c r="A68" s="34">
        <f>MAX(A$1:A67)+1</f>
        <v>9</v>
      </c>
      <c r="B68" s="43"/>
      <c r="C68" s="36" t="s">
        <v>50</v>
      </c>
      <c r="D68" s="37"/>
      <c r="E68" s="38" t="s">
        <v>51</v>
      </c>
      <c r="F68" s="39"/>
      <c r="G68" s="40" t="s">
        <v>18</v>
      </c>
      <c r="H68" s="52">
        <v>75.25</v>
      </c>
    </row>
    <row r="69" spans="1:17" ht="25.5">
      <c r="A69" s="72"/>
      <c r="B69" s="73"/>
      <c r="C69" s="66"/>
      <c r="D69" s="67" t="s">
        <v>138</v>
      </c>
      <c r="E69" s="71" t="s">
        <v>139</v>
      </c>
      <c r="F69" s="61"/>
      <c r="G69" s="62" t="s">
        <v>18</v>
      </c>
      <c r="H69" s="99">
        <v>75.25</v>
      </c>
    </row>
    <row r="70" spans="1:17" s="111" customFormat="1">
      <c r="A70" s="179"/>
      <c r="B70" s="256"/>
      <c r="C70" s="79"/>
      <c r="D70" s="67"/>
      <c r="E70" s="121" t="s">
        <v>1216</v>
      </c>
      <c r="F70" s="231"/>
      <c r="G70" s="62"/>
      <c r="H70" s="246"/>
      <c r="Q70"/>
    </row>
    <row r="71" spans="1:17" s="111" customFormat="1">
      <c r="A71" s="179"/>
      <c r="B71" s="256"/>
      <c r="C71" s="79"/>
      <c r="D71" s="67"/>
      <c r="E71" s="77" t="s">
        <v>66</v>
      </c>
      <c r="F71" s="81">
        <f>F26</f>
        <v>184.5</v>
      </c>
      <c r="G71" s="62"/>
      <c r="H71" s="246"/>
      <c r="Q71"/>
    </row>
    <row r="72" spans="1:17" s="98" customFormat="1">
      <c r="A72" s="95"/>
      <c r="B72" s="35"/>
      <c r="C72" s="35"/>
      <c r="D72" s="94"/>
      <c r="E72" s="65" t="s">
        <v>82</v>
      </c>
      <c r="F72" s="261">
        <f>-F54</f>
        <v>-109.25</v>
      </c>
      <c r="G72" s="97"/>
      <c r="H72" s="42"/>
      <c r="I72"/>
      <c r="J72"/>
      <c r="K72"/>
      <c r="L72"/>
      <c r="Q72"/>
    </row>
    <row r="73" spans="1:17" s="98" customFormat="1">
      <c r="A73" s="95"/>
      <c r="B73" s="35"/>
      <c r="C73" s="35"/>
      <c r="D73" s="94"/>
      <c r="E73" s="65"/>
      <c r="F73" s="224">
        <f>SUM(F71:F72)</f>
        <v>75.25</v>
      </c>
      <c r="G73" s="97"/>
      <c r="H73" s="42"/>
      <c r="I73"/>
      <c r="J73"/>
      <c r="K73"/>
      <c r="L73"/>
      <c r="Q73"/>
    </row>
    <row r="74" spans="1:17" s="98" customFormat="1">
      <c r="A74" s="95"/>
      <c r="B74" s="35"/>
      <c r="C74" s="35"/>
      <c r="D74" s="94"/>
      <c r="E74" s="65"/>
      <c r="F74" s="212"/>
      <c r="G74" s="97"/>
      <c r="H74" s="42"/>
      <c r="I74"/>
      <c r="J74"/>
      <c r="K74"/>
      <c r="L74"/>
      <c r="Q74"/>
    </row>
    <row r="75" spans="1:17">
      <c r="A75" s="34">
        <f>MAX(A$1:A74)+1</f>
        <v>10</v>
      </c>
      <c r="B75" s="73"/>
      <c r="C75" s="36" t="s">
        <v>83</v>
      </c>
      <c r="D75" s="66"/>
      <c r="E75" s="38" t="s">
        <v>182</v>
      </c>
      <c r="F75" s="39"/>
      <c r="G75" s="40" t="s">
        <v>18</v>
      </c>
      <c r="H75" s="64">
        <v>109.25</v>
      </c>
    </row>
    <row r="76" spans="1:17" ht="25.5">
      <c r="A76" s="72"/>
      <c r="B76" s="73"/>
      <c r="C76" s="66"/>
      <c r="D76" s="67" t="s">
        <v>85</v>
      </c>
      <c r="E76" s="71" t="s">
        <v>183</v>
      </c>
      <c r="F76" s="61"/>
      <c r="G76" s="62" t="s">
        <v>18</v>
      </c>
      <c r="H76" s="83">
        <v>109.25</v>
      </c>
    </row>
    <row r="77" spans="1:17" s="98" customFormat="1">
      <c r="A77" s="95"/>
      <c r="B77" s="35"/>
      <c r="C77" s="35"/>
      <c r="D77" s="94"/>
      <c r="E77" s="65" t="s">
        <v>181</v>
      </c>
      <c r="F77" s="224">
        <f>F54</f>
        <v>109.25</v>
      </c>
      <c r="G77" s="97"/>
      <c r="H77" s="99"/>
      <c r="I77"/>
      <c r="J77"/>
      <c r="K77"/>
      <c r="L77"/>
      <c r="Q77"/>
    </row>
    <row r="78" spans="1:17" s="98" customFormat="1">
      <c r="A78" s="95"/>
      <c r="B78" s="35"/>
      <c r="C78" s="35"/>
      <c r="D78" s="94"/>
      <c r="E78" s="65"/>
      <c r="F78" s="212"/>
      <c r="G78" s="97"/>
      <c r="H78" s="99"/>
      <c r="I78"/>
      <c r="J78"/>
      <c r="K78"/>
      <c r="L78"/>
      <c r="Q78"/>
    </row>
    <row r="79" spans="1:17" ht="25.5">
      <c r="A79" s="34">
        <f>MAX(A$1:A78)+1</f>
        <v>11</v>
      </c>
      <c r="B79" s="43"/>
      <c r="C79" s="36" t="s">
        <v>185</v>
      </c>
      <c r="D79" s="37"/>
      <c r="E79" s="38" t="s">
        <v>186</v>
      </c>
      <c r="F79" s="39"/>
      <c r="G79" s="40" t="s">
        <v>21</v>
      </c>
      <c r="H79" s="64">
        <v>375</v>
      </c>
    </row>
    <row r="80" spans="1:17" ht="25.5">
      <c r="A80" s="72"/>
      <c r="B80" s="73"/>
      <c r="C80" s="66"/>
      <c r="D80" s="67" t="s">
        <v>187</v>
      </c>
      <c r="E80" s="71" t="s">
        <v>188</v>
      </c>
      <c r="F80" s="61"/>
      <c r="G80" s="62" t="s">
        <v>21</v>
      </c>
      <c r="H80" s="83">
        <v>375</v>
      </c>
    </row>
    <row r="81" spans="1:17" s="98" customFormat="1">
      <c r="A81" s="95"/>
      <c r="B81" s="35"/>
      <c r="C81" s="35"/>
      <c r="D81" s="94"/>
      <c r="E81" s="84" t="s">
        <v>526</v>
      </c>
      <c r="F81" s="212"/>
      <c r="G81" s="97"/>
      <c r="H81" s="42"/>
      <c r="I81"/>
      <c r="J81"/>
      <c r="K81"/>
      <c r="L81"/>
      <c r="Q81"/>
    </row>
    <row r="82" spans="1:17" s="98" customFormat="1">
      <c r="A82" s="95"/>
      <c r="B82" s="35"/>
      <c r="C82" s="35"/>
      <c r="D82" s="94"/>
      <c r="E82" s="65" t="s">
        <v>2235</v>
      </c>
      <c r="F82" s="262">
        <f>(1.5*5*2)+(1.5*4*2)*30</f>
        <v>375</v>
      </c>
      <c r="G82" s="97"/>
      <c r="H82" s="42"/>
      <c r="I82"/>
      <c r="J82"/>
      <c r="K82"/>
      <c r="L82"/>
      <c r="Q82"/>
    </row>
    <row r="83" spans="1:17" s="98" customFormat="1">
      <c r="A83" s="95"/>
      <c r="B83" s="35"/>
      <c r="C83" s="35"/>
      <c r="D83" s="94"/>
      <c r="E83" s="65"/>
      <c r="F83" s="263"/>
      <c r="G83" s="97"/>
      <c r="H83" s="42"/>
      <c r="I83"/>
      <c r="J83"/>
      <c r="K83"/>
      <c r="L83"/>
      <c r="Q83"/>
    </row>
    <row r="84" spans="1:17" s="98" customFormat="1" ht="25.5">
      <c r="A84" s="34"/>
      <c r="B84" s="35" t="s">
        <v>217</v>
      </c>
      <c r="C84" s="35"/>
      <c r="D84" s="94"/>
      <c r="E84" s="50" t="s">
        <v>218</v>
      </c>
      <c r="F84" s="100"/>
      <c r="G84" s="97"/>
      <c r="H84" s="42"/>
      <c r="I84"/>
      <c r="J84"/>
      <c r="K84"/>
      <c r="L84"/>
      <c r="Q84"/>
    </row>
    <row r="85" spans="1:17" s="98" customFormat="1">
      <c r="A85" s="145"/>
      <c r="B85" s="35"/>
      <c r="C85" s="35"/>
      <c r="D85" s="94"/>
      <c r="E85" s="50"/>
      <c r="F85" s="100"/>
      <c r="G85" s="97"/>
      <c r="H85" s="42"/>
      <c r="I85"/>
      <c r="J85"/>
      <c r="K85"/>
      <c r="L85"/>
      <c r="Q85"/>
    </row>
    <row r="86" spans="1:17">
      <c r="A86" s="34">
        <f>MAX(A$1:A85)+1</f>
        <v>12</v>
      </c>
      <c r="B86" s="43"/>
      <c r="C86" s="36" t="s">
        <v>554</v>
      </c>
      <c r="D86" s="37"/>
      <c r="E86" s="38" t="s">
        <v>555</v>
      </c>
      <c r="F86" s="39"/>
      <c r="G86" s="40" t="s">
        <v>36</v>
      </c>
      <c r="H86" s="254">
        <v>150</v>
      </c>
      <c r="I86" s="54"/>
    </row>
    <row r="87" spans="1:17">
      <c r="A87" s="34"/>
      <c r="B87" s="43"/>
      <c r="C87" s="36"/>
      <c r="D87" s="67" t="s">
        <v>2236</v>
      </c>
      <c r="E87" s="71" t="s">
        <v>2237</v>
      </c>
      <c r="F87" s="61"/>
      <c r="G87" s="62" t="s">
        <v>36</v>
      </c>
      <c r="H87" s="255">
        <v>15</v>
      </c>
    </row>
    <row r="88" spans="1:17" ht="25.5">
      <c r="A88" s="34"/>
      <c r="B88" s="43"/>
      <c r="C88" s="36"/>
      <c r="D88" s="37"/>
      <c r="E88" s="65" t="s">
        <v>2238</v>
      </c>
      <c r="F88" s="46">
        <f>3*5</f>
        <v>15</v>
      </c>
      <c r="G88" s="40"/>
      <c r="H88" s="254"/>
    </row>
    <row r="89" spans="1:17">
      <c r="A89" s="34"/>
      <c r="B89" s="43"/>
      <c r="C89" s="36"/>
      <c r="D89" s="67" t="s">
        <v>2239</v>
      </c>
      <c r="E89" s="71" t="s">
        <v>2240</v>
      </c>
      <c r="F89" s="61"/>
      <c r="G89" s="62" t="s">
        <v>36</v>
      </c>
      <c r="H89" s="255">
        <v>35</v>
      </c>
    </row>
    <row r="90" spans="1:17" ht="25.5">
      <c r="A90" s="72"/>
      <c r="B90" s="73"/>
      <c r="C90" s="66"/>
      <c r="D90" s="67"/>
      <c r="E90" s="65" t="s">
        <v>2241</v>
      </c>
      <c r="F90" s="46">
        <f>7*5</f>
        <v>35</v>
      </c>
      <c r="G90" s="62"/>
      <c r="H90" s="42"/>
    </row>
    <row r="91" spans="1:17">
      <c r="A91" s="105"/>
      <c r="B91" s="73"/>
      <c r="C91" s="66"/>
      <c r="D91" s="67" t="s">
        <v>2242</v>
      </c>
      <c r="E91" s="71" t="s">
        <v>2243</v>
      </c>
      <c r="F91" s="61"/>
      <c r="G91" s="62" t="s">
        <v>36</v>
      </c>
      <c r="H91" s="42"/>
    </row>
    <row r="92" spans="1:17" ht="25.5">
      <c r="A92" s="105"/>
      <c r="B92" s="73"/>
      <c r="C92" s="66"/>
      <c r="D92" s="67"/>
      <c r="E92" s="65" t="s">
        <v>2244</v>
      </c>
      <c r="F92" s="46">
        <f>20*5</f>
        <v>100</v>
      </c>
      <c r="G92" s="62"/>
      <c r="H92" s="99">
        <v>100</v>
      </c>
    </row>
    <row r="93" spans="1:17">
      <c r="A93" s="105"/>
      <c r="B93" s="73"/>
      <c r="C93" s="66"/>
      <c r="D93" s="67"/>
      <c r="E93" s="65"/>
      <c r="F93" s="46"/>
      <c r="G93" s="62"/>
      <c r="H93" s="42"/>
    </row>
    <row r="94" spans="1:17" ht="38.25">
      <c r="A94" s="105"/>
      <c r="B94" s="73"/>
      <c r="C94" s="66"/>
      <c r="D94" s="67"/>
      <c r="E94" s="65" t="s">
        <v>2245</v>
      </c>
      <c r="F94" s="46"/>
      <c r="G94" s="62"/>
      <c r="H94" s="42"/>
    </row>
    <row r="95" spans="1:17" ht="25.5">
      <c r="A95" s="105"/>
      <c r="B95" s="73"/>
      <c r="C95" s="66"/>
      <c r="D95" s="67"/>
      <c r="E95" s="65" t="s">
        <v>2246</v>
      </c>
      <c r="F95" s="46"/>
      <c r="G95" s="62"/>
      <c r="H95" s="42"/>
    </row>
    <row r="96" spans="1:17">
      <c r="A96" s="105"/>
      <c r="B96" s="73"/>
      <c r="C96" s="66"/>
      <c r="D96" s="67"/>
      <c r="E96" s="71"/>
      <c r="F96" s="46"/>
      <c r="G96" s="62"/>
      <c r="H96" s="42"/>
    </row>
    <row r="97" spans="1:17" ht="25.5">
      <c r="A97" s="34">
        <f>MAX(A$1:A96)+1</f>
        <v>13</v>
      </c>
      <c r="B97" s="43"/>
      <c r="C97" s="36" t="s">
        <v>540</v>
      </c>
      <c r="D97" s="37"/>
      <c r="E97" s="38" t="s">
        <v>541</v>
      </c>
      <c r="F97" s="39"/>
      <c r="G97" s="40" t="s">
        <v>36</v>
      </c>
      <c r="H97" s="254">
        <v>300</v>
      </c>
      <c r="I97" s="115"/>
    </row>
    <row r="98" spans="1:17" ht="25.5">
      <c r="A98" s="72"/>
      <c r="B98" s="73"/>
      <c r="C98" s="66"/>
      <c r="D98" s="67" t="s">
        <v>542</v>
      </c>
      <c r="E98" s="71" t="s">
        <v>543</v>
      </c>
      <c r="F98" s="61"/>
      <c r="G98" s="62" t="s">
        <v>36</v>
      </c>
      <c r="H98" s="255">
        <v>150</v>
      </c>
    </row>
    <row r="99" spans="1:17">
      <c r="A99" s="72"/>
      <c r="B99" s="73"/>
      <c r="C99" s="66"/>
      <c r="D99" s="67"/>
      <c r="E99" s="65"/>
      <c r="F99" s="90">
        <f>F88+F90+F92</f>
        <v>150</v>
      </c>
      <c r="G99" s="62"/>
      <c r="H99" s="99"/>
    </row>
    <row r="100" spans="1:17" ht="25.5">
      <c r="A100" s="72"/>
      <c r="B100" s="73"/>
      <c r="C100" s="66"/>
      <c r="D100" s="67" t="s">
        <v>544</v>
      </c>
      <c r="E100" s="71" t="s">
        <v>545</v>
      </c>
      <c r="F100" s="61"/>
      <c r="G100" s="62" t="s">
        <v>36</v>
      </c>
      <c r="H100" s="99">
        <v>150</v>
      </c>
    </row>
    <row r="101" spans="1:17">
      <c r="A101" s="72"/>
      <c r="B101" s="73"/>
      <c r="C101" s="66"/>
      <c r="D101" s="67"/>
      <c r="E101" s="71"/>
      <c r="F101" s="90">
        <f>F99</f>
        <v>150</v>
      </c>
      <c r="G101" s="62"/>
      <c r="H101" s="99"/>
    </row>
    <row r="102" spans="1:17">
      <c r="A102" s="72"/>
      <c r="B102" s="73"/>
      <c r="C102" s="66"/>
      <c r="D102" s="67"/>
      <c r="E102" s="65"/>
      <c r="F102" s="90"/>
      <c r="G102" s="62"/>
      <c r="H102" s="99"/>
    </row>
    <row r="103" spans="1:17" ht="25.5">
      <c r="A103" s="34">
        <f>MAX(A$1:A102)+1</f>
        <v>14</v>
      </c>
      <c r="B103" s="43"/>
      <c r="C103" s="36" t="s">
        <v>215</v>
      </c>
      <c r="D103" s="37"/>
      <c r="E103" s="38" t="s">
        <v>216</v>
      </c>
      <c r="F103" s="39"/>
      <c r="G103" s="40" t="s">
        <v>18</v>
      </c>
      <c r="H103" s="64">
        <v>18.45</v>
      </c>
    </row>
    <row r="104" spans="1:17" ht="25.5">
      <c r="A104" s="34"/>
      <c r="B104" s="267"/>
      <c r="C104" s="36"/>
      <c r="D104" s="37"/>
      <c r="E104" s="65" t="s">
        <v>2247</v>
      </c>
      <c r="F104" s="46">
        <f>1*0.15*4*16</f>
        <v>9.6</v>
      </c>
      <c r="G104" s="40"/>
      <c r="H104" s="52"/>
    </row>
    <row r="105" spans="1:17" ht="25.5">
      <c r="A105" s="34"/>
      <c r="B105" s="267"/>
      <c r="C105" s="36"/>
      <c r="D105" s="37"/>
      <c r="E105" s="65" t="s">
        <v>2248</v>
      </c>
      <c r="F105" s="46">
        <f>1*0.15*5*3</f>
        <v>2.25</v>
      </c>
      <c r="G105" s="40"/>
      <c r="H105" s="52"/>
    </row>
    <row r="106" spans="1:17" ht="25.5">
      <c r="A106" s="34"/>
      <c r="B106" s="267"/>
      <c r="C106" s="36"/>
      <c r="D106" s="37"/>
      <c r="E106" s="65" t="s">
        <v>2249</v>
      </c>
      <c r="F106" s="69">
        <f>1*0.15*4*11</f>
        <v>6.6</v>
      </c>
      <c r="G106" s="40"/>
      <c r="H106" s="52"/>
    </row>
    <row r="107" spans="1:17">
      <c r="A107" s="34"/>
      <c r="B107" s="267"/>
      <c r="C107" s="36"/>
      <c r="D107" s="37"/>
      <c r="E107" s="65"/>
      <c r="F107" s="46">
        <f>SUM(F104:F106)</f>
        <v>18.45</v>
      </c>
      <c r="G107" s="40"/>
      <c r="H107" s="52"/>
    </row>
    <row r="108" spans="1:17">
      <c r="A108" s="34"/>
      <c r="B108" s="267"/>
      <c r="C108" s="36"/>
      <c r="D108" s="37"/>
      <c r="E108" s="91"/>
      <c r="F108" s="92"/>
      <c r="G108" s="40"/>
      <c r="H108" s="52"/>
    </row>
    <row r="109" spans="1:17">
      <c r="A109" s="55"/>
      <c r="B109" s="45"/>
      <c r="C109" s="82"/>
      <c r="D109" s="85"/>
      <c r="E109" s="77"/>
      <c r="F109" s="81"/>
      <c r="G109" s="88"/>
      <c r="H109" s="57"/>
    </row>
    <row r="110" spans="1:17" ht="15.75" thickBot="1">
      <c r="A110" s="106"/>
      <c r="B110" s="107"/>
      <c r="C110" s="107"/>
      <c r="D110" s="107"/>
      <c r="E110" s="108"/>
      <c r="F110" s="109"/>
      <c r="G110" s="107"/>
      <c r="H110" s="110"/>
    </row>
    <row r="111" spans="1:17">
      <c r="E111" s="6"/>
      <c r="F111" s="112"/>
      <c r="H111" s="8"/>
      <c r="Q111" s="223"/>
    </row>
  </sheetData>
  <sheetProtection algorithmName="SHA-512" hashValue="wW3/BuoUwc3pyz/pQGFqQ6P8iJbOhPqGSRH6EOZbj4Mv4agUmY810PJG/Cn+P99OsRJdNwLYX9lFPvzihrENow==" saltValue="tknYc6R3qx5iskaH8Amvp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8EFD-6CDB-4BF8-AEE8-8F5ADC4B8964}">
  <sheetPr codeName="Hárok19"/>
  <dimension ref="A1:Q22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2252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 ht="14.25">
      <c r="A6" s="438"/>
      <c r="B6" s="483"/>
      <c r="C6" s="36"/>
      <c r="D6" s="66"/>
      <c r="E6" s="71"/>
      <c r="F6" s="212"/>
      <c r="G6" s="366"/>
      <c r="H6" s="530"/>
    </row>
    <row r="7" spans="1:8" customFormat="1" ht="15">
      <c r="A7" s="463"/>
      <c r="B7" s="24" t="s">
        <v>11</v>
      </c>
      <c r="C7" s="25"/>
      <c r="D7" s="26"/>
      <c r="E7" s="27" t="s">
        <v>12</v>
      </c>
      <c r="F7" s="347"/>
      <c r="G7" s="348"/>
      <c r="H7" s="506"/>
    </row>
    <row r="8" spans="1:8" customFormat="1" ht="15">
      <c r="A8" s="463"/>
      <c r="B8" s="464"/>
      <c r="C8" s="348"/>
      <c r="D8" s="348"/>
      <c r="E8" s="349"/>
      <c r="F8" s="347"/>
      <c r="G8" s="348"/>
      <c r="H8" s="506"/>
    </row>
    <row r="9" spans="1:8" customFormat="1" ht="25.5">
      <c r="A9" s="34">
        <f>MAX(A$1:A8)+1</f>
        <v>1</v>
      </c>
      <c r="B9" s="464"/>
      <c r="C9" s="36" t="s">
        <v>13</v>
      </c>
      <c r="D9" s="37"/>
      <c r="E9" s="38" t="s">
        <v>14</v>
      </c>
      <c r="F9" s="39"/>
      <c r="G9" s="286" t="s">
        <v>15</v>
      </c>
      <c r="H9" s="507">
        <v>91.16</v>
      </c>
    </row>
    <row r="10" spans="1:8" customFormat="1" ht="15">
      <c r="A10" s="34"/>
      <c r="B10" s="464"/>
      <c r="C10" s="36"/>
      <c r="D10" s="37"/>
      <c r="E10" s="38"/>
      <c r="F10" s="46">
        <f>F29</f>
        <v>91.16</v>
      </c>
      <c r="G10" s="40"/>
      <c r="H10" s="506"/>
    </row>
    <row r="11" spans="1:8" customFormat="1" ht="15">
      <c r="A11" s="34"/>
      <c r="B11" s="464"/>
      <c r="C11" s="36"/>
      <c r="D11" s="37"/>
      <c r="E11" s="38"/>
      <c r="F11" s="46"/>
      <c r="G11" s="40"/>
      <c r="H11" s="506"/>
    </row>
    <row r="12" spans="1:8" customFormat="1" ht="15">
      <c r="A12" s="34">
        <f>MAX(A$1:A11)+1</f>
        <v>2</v>
      </c>
      <c r="B12" s="464"/>
      <c r="C12" s="36" t="s">
        <v>228</v>
      </c>
      <c r="D12" s="37"/>
      <c r="E12" s="38" t="s">
        <v>229</v>
      </c>
      <c r="F12" s="39"/>
      <c r="G12" s="40" t="s">
        <v>18</v>
      </c>
      <c r="H12" s="507">
        <v>949.81999999999994</v>
      </c>
    </row>
    <row r="13" spans="1:8" customFormat="1" ht="15">
      <c r="A13" s="34"/>
      <c r="B13" s="464"/>
      <c r="C13" s="36"/>
      <c r="D13" s="37"/>
      <c r="E13" s="38"/>
      <c r="F13" s="46">
        <f>F45</f>
        <v>949.81999999999994</v>
      </c>
      <c r="G13" s="40"/>
      <c r="H13" s="506"/>
    </row>
    <row r="14" spans="1:8" customFormat="1" ht="15">
      <c r="A14" s="34"/>
      <c r="B14" s="464"/>
      <c r="C14" s="36"/>
      <c r="D14" s="37"/>
      <c r="E14" s="38"/>
      <c r="F14" s="46"/>
      <c r="G14" s="40"/>
      <c r="H14" s="506"/>
    </row>
    <row r="15" spans="1:8" customFormat="1" ht="15">
      <c r="A15" s="265"/>
      <c r="B15" s="237" t="s">
        <v>19</v>
      </c>
      <c r="C15" s="422"/>
      <c r="D15" s="422"/>
      <c r="E15" s="50" t="s">
        <v>20</v>
      </c>
      <c r="F15" s="311"/>
      <c r="G15" s="508"/>
      <c r="H15" s="531"/>
    </row>
    <row r="16" spans="1:8" customFormat="1" ht="15">
      <c r="A16" s="265"/>
      <c r="B16" s="421"/>
      <c r="C16" s="422"/>
      <c r="D16" s="422"/>
      <c r="E16" s="189"/>
      <c r="F16" s="311"/>
      <c r="G16" s="508"/>
      <c r="H16" s="531"/>
    </row>
    <row r="17" spans="1:8" customFormat="1" ht="15">
      <c r="A17" s="283">
        <f>MAX(A$1:A16)+1</f>
        <v>3</v>
      </c>
      <c r="B17" s="421"/>
      <c r="C17" s="36" t="s">
        <v>67</v>
      </c>
      <c r="D17" s="37"/>
      <c r="E17" s="38" t="s">
        <v>68</v>
      </c>
      <c r="F17" s="250"/>
      <c r="G17" s="286" t="s">
        <v>18</v>
      </c>
      <c r="H17" s="532">
        <v>39.200000000000003</v>
      </c>
    </row>
    <row r="18" spans="1:8" customFormat="1" ht="15">
      <c r="A18" s="265"/>
      <c r="B18" s="421"/>
      <c r="C18" s="36"/>
      <c r="D18" s="37"/>
      <c r="E18" s="65" t="s">
        <v>2253</v>
      </c>
      <c r="F18" s="224">
        <v>39.200000000000003</v>
      </c>
      <c r="G18" s="286"/>
      <c r="H18" s="531"/>
    </row>
    <row r="19" spans="1:8" customFormat="1" ht="12.75" customHeight="1">
      <c r="A19" s="265"/>
      <c r="B19" s="423"/>
      <c r="C19" s="422"/>
      <c r="D19" s="424"/>
      <c r="E19" s="231"/>
      <c r="F19" s="308"/>
      <c r="G19" s="319"/>
      <c r="H19" s="533"/>
    </row>
    <row r="20" spans="1:8" customFormat="1" ht="25.5">
      <c r="A20" s="283">
        <f>MAX(A$1:A19)+1</f>
        <v>4</v>
      </c>
      <c r="B20" s="73"/>
      <c r="C20" s="36" t="s">
        <v>115</v>
      </c>
      <c r="D20" s="37"/>
      <c r="E20" s="38" t="s">
        <v>116</v>
      </c>
      <c r="F20" s="39"/>
      <c r="G20" s="40" t="s">
        <v>33</v>
      </c>
      <c r="H20" s="533">
        <v>10</v>
      </c>
    </row>
    <row r="21" spans="1:8" customFormat="1" ht="25.5">
      <c r="A21" s="265"/>
      <c r="B21" s="423"/>
      <c r="C21" s="422"/>
      <c r="D21" s="67" t="s">
        <v>635</v>
      </c>
      <c r="E21" s="71" t="s">
        <v>636</v>
      </c>
      <c r="F21" s="322"/>
      <c r="G21" s="295" t="s">
        <v>33</v>
      </c>
      <c r="H21" s="534">
        <v>10</v>
      </c>
    </row>
    <row r="22" spans="1:8" customFormat="1" ht="15">
      <c r="A22" s="265"/>
      <c r="B22" s="423"/>
      <c r="C22" s="422"/>
      <c r="D22" s="67"/>
      <c r="E22" s="65" t="s">
        <v>2254</v>
      </c>
      <c r="F22" s="224">
        <v>10</v>
      </c>
      <c r="G22" s="295"/>
      <c r="H22" s="531"/>
    </row>
    <row r="23" spans="1:8" customFormat="1" ht="12.75" customHeight="1">
      <c r="A23" s="265"/>
      <c r="B23" s="423"/>
      <c r="C23" s="422"/>
      <c r="D23" s="67"/>
      <c r="E23" s="38"/>
      <c r="F23" s="224" t="s">
        <v>693</v>
      </c>
      <c r="G23" s="295"/>
      <c r="H23" s="531"/>
    </row>
    <row r="24" spans="1:8" customFormat="1" ht="15">
      <c r="A24" s="283">
        <f>MAX(A$1:A23)+1</f>
        <v>5</v>
      </c>
      <c r="B24" s="423"/>
      <c r="C24" s="36" t="s">
        <v>37</v>
      </c>
      <c r="D24" s="37"/>
      <c r="E24" s="38" t="s">
        <v>38</v>
      </c>
      <c r="F24" s="137"/>
      <c r="G24" s="286" t="s">
        <v>15</v>
      </c>
      <c r="H24" s="532">
        <v>96.71</v>
      </c>
    </row>
    <row r="25" spans="1:8" customFormat="1" ht="15">
      <c r="A25" s="283"/>
      <c r="B25" s="425"/>
      <c r="C25" s="426"/>
      <c r="D25" s="67" t="s">
        <v>39</v>
      </c>
      <c r="E25" s="71" t="s">
        <v>40</v>
      </c>
      <c r="F25" s="322"/>
      <c r="G25" s="295" t="s">
        <v>15</v>
      </c>
      <c r="H25" s="535">
        <v>96.71</v>
      </c>
    </row>
    <row r="26" spans="1:8" customFormat="1" ht="15">
      <c r="A26" s="23"/>
      <c r="B26" s="238"/>
      <c r="C26" s="66"/>
      <c r="D26" s="242"/>
      <c r="E26" s="84" t="s">
        <v>457</v>
      </c>
      <c r="F26" s="46"/>
      <c r="G26" s="62"/>
      <c r="H26" s="536"/>
    </row>
    <row r="27" spans="1:8" customFormat="1" ht="15">
      <c r="A27" s="283"/>
      <c r="B27" s="282"/>
      <c r="C27" s="426"/>
      <c r="D27" s="424"/>
      <c r="E27" s="309" t="s">
        <v>695</v>
      </c>
      <c r="F27" s="311">
        <v>1</v>
      </c>
      <c r="G27" s="319"/>
      <c r="H27" s="537"/>
    </row>
    <row r="28" spans="1:8" customFormat="1" ht="15">
      <c r="A28" s="283"/>
      <c r="B28" s="282"/>
      <c r="C28" s="426"/>
      <c r="D28" s="424"/>
      <c r="E28" s="309" t="s">
        <v>599</v>
      </c>
      <c r="F28" s="313">
        <v>90.16</v>
      </c>
      <c r="G28" s="319"/>
      <c r="H28" s="537"/>
    </row>
    <row r="29" spans="1:8" customFormat="1" ht="15">
      <c r="A29" s="283"/>
      <c r="B29" s="282"/>
      <c r="C29" s="426"/>
      <c r="D29" s="424"/>
      <c r="E29" s="252"/>
      <c r="F29" s="311">
        <f>SUM(F27:F28)</f>
        <v>91.16</v>
      </c>
      <c r="G29" s="319"/>
      <c r="H29" s="537"/>
    </row>
    <row r="30" spans="1:8" customFormat="1" ht="15">
      <c r="A30" s="283"/>
      <c r="B30" s="282"/>
      <c r="C30" s="426"/>
      <c r="D30" s="424"/>
      <c r="E30" s="252"/>
      <c r="F30" s="311"/>
      <c r="G30" s="319"/>
      <c r="H30" s="537"/>
    </row>
    <row r="31" spans="1:8" customFormat="1" ht="15">
      <c r="A31" s="283"/>
      <c r="B31" s="282"/>
      <c r="C31" s="426"/>
      <c r="D31" s="424"/>
      <c r="E31" s="228" t="s">
        <v>142</v>
      </c>
      <c r="F31" s="311"/>
      <c r="G31" s="319"/>
      <c r="H31" s="537"/>
    </row>
    <row r="32" spans="1:8" customFormat="1" ht="15">
      <c r="A32" s="283"/>
      <c r="B32" s="282"/>
      <c r="C32" s="426"/>
      <c r="D32" s="424"/>
      <c r="E32" s="309" t="s">
        <v>2255</v>
      </c>
      <c r="F32" s="311">
        <v>5.55</v>
      </c>
      <c r="G32" s="319"/>
      <c r="H32" s="537"/>
    </row>
    <row r="33" spans="1:10" customFormat="1" ht="15">
      <c r="A33" s="283"/>
      <c r="B33" s="282"/>
      <c r="C33" s="426"/>
      <c r="D33" s="424"/>
      <c r="E33" s="288" t="s">
        <v>41</v>
      </c>
      <c r="F33" s="948">
        <f>F29+F32</f>
        <v>96.71</v>
      </c>
      <c r="G33" s="319"/>
      <c r="H33" s="537"/>
    </row>
    <row r="34" spans="1:10" customFormat="1" ht="15">
      <c r="A34" s="283"/>
      <c r="B34" s="282"/>
      <c r="C34" s="426"/>
      <c r="D34" s="424"/>
      <c r="E34" s="252"/>
      <c r="F34" s="311"/>
      <c r="G34" s="319"/>
      <c r="H34" s="537"/>
    </row>
    <row r="35" spans="1:10" customFormat="1" ht="15">
      <c r="A35" s="265"/>
      <c r="B35" s="237" t="s">
        <v>72</v>
      </c>
      <c r="C35" s="422"/>
      <c r="D35" s="422"/>
      <c r="E35" s="27" t="s">
        <v>73</v>
      </c>
      <c r="F35" s="311"/>
      <c r="G35" s="508"/>
      <c r="H35" s="531"/>
    </row>
    <row r="36" spans="1:10" customFormat="1" ht="15">
      <c r="A36" s="283"/>
      <c r="B36" s="126"/>
      <c r="C36" s="426"/>
      <c r="D36" s="126"/>
      <c r="E36" s="27"/>
      <c r="F36" s="538"/>
      <c r="G36" s="286"/>
      <c r="H36" s="539"/>
    </row>
    <row r="37" spans="1:10" customFormat="1" ht="15">
      <c r="A37" s="34">
        <f>MAX(A$1:A35)+1</f>
        <v>6</v>
      </c>
      <c r="B37" s="327"/>
      <c r="C37" s="36" t="s">
        <v>74</v>
      </c>
      <c r="D37" s="37"/>
      <c r="E37" s="38" t="s">
        <v>75</v>
      </c>
      <c r="F37" s="264"/>
      <c r="G37" s="286" t="s">
        <v>18</v>
      </c>
      <c r="H37" s="540">
        <v>1105.27</v>
      </c>
    </row>
    <row r="38" spans="1:10" customFormat="1" ht="15">
      <c r="A38" s="350"/>
      <c r="B38" s="329"/>
      <c r="C38" s="66"/>
      <c r="D38" s="67" t="s">
        <v>76</v>
      </c>
      <c r="E38" s="71" t="s">
        <v>77</v>
      </c>
      <c r="F38" s="212"/>
      <c r="G38" s="295" t="s">
        <v>18</v>
      </c>
      <c r="H38" s="949">
        <v>1105.27</v>
      </c>
    </row>
    <row r="39" spans="1:10" customFormat="1" ht="12.75" customHeight="1">
      <c r="A39" s="350"/>
      <c r="B39" s="329"/>
      <c r="C39" s="66"/>
      <c r="D39" s="67"/>
      <c r="E39" s="330" t="s">
        <v>2256</v>
      </c>
      <c r="F39" s="224">
        <v>1105.27</v>
      </c>
      <c r="G39" s="295"/>
      <c r="H39" s="541"/>
    </row>
    <row r="40" spans="1:10" customFormat="1" ht="12.75" customHeight="1">
      <c r="A40" s="350"/>
      <c r="B40" s="329"/>
      <c r="C40" s="66"/>
      <c r="D40" s="67"/>
      <c r="E40" s="330"/>
      <c r="F40" s="212"/>
      <c r="G40" s="295"/>
      <c r="H40" s="541"/>
    </row>
    <row r="41" spans="1:10" customFormat="1" ht="54.75" customHeight="1">
      <c r="A41" s="350"/>
      <c r="B41" s="329"/>
      <c r="C41" s="66"/>
      <c r="D41" s="67"/>
      <c r="E41" s="330" t="s">
        <v>2257</v>
      </c>
      <c r="F41" s="212"/>
      <c r="G41" s="295"/>
      <c r="H41" s="541"/>
    </row>
    <row r="42" spans="1:10" customFormat="1" ht="15">
      <c r="A42" s="350"/>
      <c r="B42" s="329"/>
      <c r="C42" s="66"/>
      <c r="D42" s="67"/>
      <c r="E42" s="330"/>
      <c r="F42" s="212"/>
      <c r="G42" s="295"/>
      <c r="H42" s="541"/>
    </row>
    <row r="43" spans="1:10" customFormat="1" ht="15">
      <c r="A43" s="34">
        <f>MAX(A$1:A41)+1</f>
        <v>7</v>
      </c>
      <c r="B43" s="329"/>
      <c r="C43" s="36" t="s">
        <v>58</v>
      </c>
      <c r="D43" s="37"/>
      <c r="E43" s="38" t="s">
        <v>59</v>
      </c>
      <c r="F43" s="39"/>
      <c r="G43" s="40" t="s">
        <v>18</v>
      </c>
      <c r="H43" s="544">
        <v>949.81999999999994</v>
      </c>
    </row>
    <row r="44" spans="1:10" customFormat="1" ht="15">
      <c r="A44" s="350"/>
      <c r="B44" s="329"/>
      <c r="C44" s="66"/>
      <c r="D44" s="67" t="s">
        <v>60</v>
      </c>
      <c r="E44" s="71" t="s">
        <v>61</v>
      </c>
      <c r="F44" s="61"/>
      <c r="G44" s="62" t="s">
        <v>18</v>
      </c>
      <c r="H44" s="545">
        <v>949.81999999999994</v>
      </c>
    </row>
    <row r="45" spans="1:10" customFormat="1" ht="15">
      <c r="A45" s="350"/>
      <c r="B45" s="329"/>
      <c r="C45" s="66"/>
      <c r="D45" s="67"/>
      <c r="E45" s="549" t="s">
        <v>1212</v>
      </c>
      <c r="F45" s="212">
        <f>F56</f>
        <v>949.81999999999994</v>
      </c>
      <c r="G45" s="295"/>
      <c r="H45" s="541"/>
    </row>
    <row r="46" spans="1:10" customFormat="1" ht="12.75" customHeight="1">
      <c r="A46" s="350"/>
      <c r="B46" s="329"/>
      <c r="C46" s="66"/>
      <c r="D46" s="67"/>
      <c r="E46" s="345"/>
      <c r="F46" s="212"/>
      <c r="G46" s="295"/>
      <c r="H46" s="541"/>
    </row>
    <row r="47" spans="1:10" ht="15">
      <c r="A47" s="334">
        <f>MAX(A$1:A46)+1</f>
        <v>8</v>
      </c>
      <c r="B47" s="335"/>
      <c r="C47" s="435" t="s">
        <v>78</v>
      </c>
      <c r="D47" s="436"/>
      <c r="E47" s="437" t="s">
        <v>79</v>
      </c>
      <c r="F47" s="547"/>
      <c r="G47" s="511" t="s">
        <v>18</v>
      </c>
      <c r="H47" s="544">
        <v>155.44999999999999</v>
      </c>
      <c r="J47"/>
    </row>
    <row r="48" spans="1:10" ht="15">
      <c r="A48" s="334"/>
      <c r="B48" s="429"/>
      <c r="C48" s="430"/>
      <c r="D48" s="431" t="s">
        <v>80</v>
      </c>
      <c r="E48" s="305" t="s">
        <v>81</v>
      </c>
      <c r="F48" s="548"/>
      <c r="G48" s="512" t="s">
        <v>18</v>
      </c>
      <c r="H48" s="545">
        <v>155.44999999999999</v>
      </c>
      <c r="J48"/>
    </row>
    <row r="49" spans="1:10" ht="15">
      <c r="A49" s="438"/>
      <c r="B49" s="429"/>
      <c r="C49" s="430"/>
      <c r="D49" s="431"/>
      <c r="E49" s="549" t="s">
        <v>2258</v>
      </c>
      <c r="F49" s="547">
        <v>155.44999999999999</v>
      </c>
      <c r="G49" s="512"/>
      <c r="H49" s="535"/>
      <c r="J49"/>
    </row>
    <row r="50" spans="1:10" ht="15">
      <c r="A50" s="438"/>
      <c r="B50" s="335"/>
      <c r="C50" s="432"/>
      <c r="D50" s="433"/>
      <c r="E50" s="549"/>
      <c r="F50" s="547"/>
      <c r="G50" s="510"/>
      <c r="H50" s="550"/>
      <c r="J50"/>
    </row>
    <row r="51" spans="1:10" ht="15">
      <c r="A51" s="334">
        <f>MAX(A$1:A50)+1</f>
        <v>9</v>
      </c>
      <c r="B51" s="439"/>
      <c r="C51" s="36" t="s">
        <v>50</v>
      </c>
      <c r="D51" s="37"/>
      <c r="E51" s="38" t="s">
        <v>51</v>
      </c>
      <c r="F51" s="39"/>
      <c r="G51" s="40" t="s">
        <v>18</v>
      </c>
      <c r="H51" s="544">
        <v>949.81999999999994</v>
      </c>
      <c r="J51"/>
    </row>
    <row r="52" spans="1:10" ht="25.5">
      <c r="A52" s="293"/>
      <c r="B52" s="440"/>
      <c r="C52" s="66"/>
      <c r="D52" s="67" t="s">
        <v>138</v>
      </c>
      <c r="E52" s="71" t="s">
        <v>139</v>
      </c>
      <c r="F52" s="61"/>
      <c r="G52" s="62" t="s">
        <v>18</v>
      </c>
      <c r="H52" s="545">
        <v>949.81999999999994</v>
      </c>
      <c r="J52"/>
    </row>
    <row r="53" spans="1:10" ht="15">
      <c r="A53" s="334"/>
      <c r="B53" s="440"/>
      <c r="C53" s="430"/>
      <c r="D53" s="431"/>
      <c r="E53" s="549" t="s">
        <v>1216</v>
      </c>
      <c r="F53" s="547"/>
      <c r="G53" s="512"/>
      <c r="H53" s="544"/>
      <c r="J53"/>
    </row>
    <row r="54" spans="1:10" ht="15">
      <c r="A54" s="334"/>
      <c r="B54" s="440"/>
      <c r="C54" s="430"/>
      <c r="D54" s="431"/>
      <c r="E54" s="549" t="s">
        <v>66</v>
      </c>
      <c r="F54" s="547">
        <f>F39</f>
        <v>1105.27</v>
      </c>
      <c r="G54" s="512"/>
      <c r="H54" s="544"/>
      <c r="J54"/>
    </row>
    <row r="55" spans="1:10" ht="15">
      <c r="A55" s="334"/>
      <c r="B55" s="440"/>
      <c r="C55" s="430"/>
      <c r="D55" s="431"/>
      <c r="E55" s="549" t="s">
        <v>82</v>
      </c>
      <c r="F55" s="848">
        <f>-F49</f>
        <v>-155.44999999999999</v>
      </c>
      <c r="G55" s="512"/>
      <c r="H55" s="544"/>
      <c r="J55"/>
    </row>
    <row r="56" spans="1:10" ht="15">
      <c r="A56" s="334"/>
      <c r="B56" s="440"/>
      <c r="C56" s="430"/>
      <c r="D56" s="431"/>
      <c r="E56" s="549"/>
      <c r="F56" s="547">
        <f>SUM(F54:F55)</f>
        <v>949.81999999999994</v>
      </c>
      <c r="G56" s="512"/>
      <c r="H56" s="544"/>
      <c r="J56"/>
    </row>
    <row r="57" spans="1:10" ht="15">
      <c r="A57" s="293"/>
      <c r="B57" s="441"/>
      <c r="C57" s="442"/>
      <c r="D57" s="434"/>
      <c r="E57" s="551"/>
      <c r="F57" s="552"/>
      <c r="G57" s="513"/>
      <c r="H57" s="535"/>
      <c r="J57"/>
    </row>
    <row r="58" spans="1:10" s="98" customFormat="1" ht="15">
      <c r="A58" s="95"/>
      <c r="B58" s="35" t="s">
        <v>501</v>
      </c>
      <c r="C58" s="35"/>
      <c r="D58" s="94"/>
      <c r="E58" s="211" t="s">
        <v>502</v>
      </c>
      <c r="F58" s="100"/>
      <c r="G58" s="97"/>
      <c r="H58" s="554"/>
      <c r="I58"/>
      <c r="J58"/>
    </row>
    <row r="59" spans="1:10" s="98" customFormat="1" ht="15">
      <c r="A59" s="95"/>
      <c r="B59" s="35"/>
      <c r="C59" s="35"/>
      <c r="D59" s="485"/>
      <c r="E59" s="211"/>
      <c r="F59" s="100"/>
      <c r="G59" s="97"/>
      <c r="H59" s="554"/>
      <c r="I59"/>
      <c r="J59"/>
    </row>
    <row r="60" spans="1:10" s="98" customFormat="1" ht="15">
      <c r="A60" s="34">
        <f>MAX(A$1:A59)+1</f>
        <v>10</v>
      </c>
      <c r="B60" s="453"/>
      <c r="C60" s="195">
        <v>91030113</v>
      </c>
      <c r="D60" s="518"/>
      <c r="E60" s="38" t="s">
        <v>2259</v>
      </c>
      <c r="F60" s="568"/>
      <c r="G60" s="40" t="s">
        <v>33</v>
      </c>
      <c r="H60" s="556">
        <v>70</v>
      </c>
      <c r="I60"/>
      <c r="J60"/>
    </row>
    <row r="61" spans="1:10" s="98" customFormat="1" ht="25.5">
      <c r="A61" s="443"/>
      <c r="B61" s="453"/>
      <c r="C61" s="452"/>
      <c r="D61" s="199">
        <v>9103011301</v>
      </c>
      <c r="E61" s="71" t="s">
        <v>2260</v>
      </c>
      <c r="F61" s="568"/>
      <c r="G61" s="62" t="s">
        <v>33</v>
      </c>
      <c r="H61" s="557">
        <v>70</v>
      </c>
      <c r="I61"/>
      <c r="J61"/>
    </row>
    <row r="62" spans="1:10" s="98" customFormat="1" ht="15">
      <c r="A62" s="443"/>
      <c r="B62" s="453"/>
      <c r="C62" s="452"/>
      <c r="D62" s="518"/>
      <c r="E62" s="77" t="s">
        <v>2261</v>
      </c>
      <c r="F62" s="212">
        <v>40</v>
      </c>
      <c r="G62" s="516"/>
      <c r="H62" s="553"/>
      <c r="I62"/>
      <c r="J62"/>
    </row>
    <row r="63" spans="1:10" s="98" customFormat="1" ht="15">
      <c r="A63" s="443"/>
      <c r="B63" s="453"/>
      <c r="C63" s="198"/>
      <c r="D63" s="235"/>
      <c r="E63" s="77" t="s">
        <v>2262</v>
      </c>
      <c r="F63" s="213">
        <v>30</v>
      </c>
      <c r="G63" s="295"/>
      <c r="H63" s="569"/>
      <c r="I63"/>
      <c r="J63"/>
    </row>
    <row r="64" spans="1:10" s="98" customFormat="1" ht="15">
      <c r="A64" s="443"/>
      <c r="B64" s="453"/>
      <c r="C64" s="198"/>
      <c r="D64" s="235"/>
      <c r="E64" s="129"/>
      <c r="F64" s="131">
        <f>SUM(F62:F63)</f>
        <v>70</v>
      </c>
      <c r="G64" s="295"/>
      <c r="H64" s="569"/>
      <c r="I64"/>
      <c r="J64"/>
    </row>
    <row r="65" spans="1:13" s="98" customFormat="1" ht="15">
      <c r="A65" s="95"/>
      <c r="B65" s="35"/>
      <c r="C65" s="35"/>
      <c r="D65" s="485"/>
      <c r="E65" s="211"/>
      <c r="F65" s="100"/>
      <c r="G65" s="97"/>
      <c r="H65" s="554"/>
      <c r="I65"/>
      <c r="J65"/>
    </row>
    <row r="66" spans="1:13" customFormat="1" ht="15">
      <c r="A66" s="34">
        <f>MAX(A$1:A65)+1</f>
        <v>11</v>
      </c>
      <c r="B66" s="327"/>
      <c r="C66" s="37" t="s">
        <v>2263</v>
      </c>
      <c r="D66" s="37"/>
      <c r="E66" s="38" t="s">
        <v>2264</v>
      </c>
      <c r="F66" s="123"/>
      <c r="G66" s="40" t="s">
        <v>33</v>
      </c>
      <c r="H66" s="556">
        <v>194</v>
      </c>
    </row>
    <row r="67" spans="1:13" customFormat="1" ht="25.5">
      <c r="A67" s="72"/>
      <c r="B67" s="329"/>
      <c r="C67" s="66"/>
      <c r="D67" s="66" t="s">
        <v>2265</v>
      </c>
      <c r="E67" s="71" t="s">
        <v>2266</v>
      </c>
      <c r="F67" s="46"/>
      <c r="G67" s="62" t="s">
        <v>33</v>
      </c>
      <c r="H67" s="557">
        <v>194</v>
      </c>
    </row>
    <row r="68" spans="1:13" customFormat="1" ht="15">
      <c r="A68" s="72"/>
      <c r="B68" s="329"/>
      <c r="C68" s="66"/>
      <c r="D68" s="67"/>
      <c r="E68" s="77" t="s">
        <v>2267</v>
      </c>
      <c r="F68" s="46">
        <v>3</v>
      </c>
      <c r="G68" s="62"/>
      <c r="H68" s="557"/>
    </row>
    <row r="69" spans="1:13" customFormat="1" ht="15">
      <c r="A69" s="72"/>
      <c r="B69" s="329"/>
      <c r="C69" s="66"/>
      <c r="D69" s="67"/>
      <c r="E69" s="77" t="s">
        <v>2268</v>
      </c>
      <c r="F69" s="46">
        <v>1</v>
      </c>
      <c r="G69" s="62"/>
      <c r="H69" s="557"/>
    </row>
    <row r="70" spans="1:13" customFormat="1" ht="15">
      <c r="A70" s="290"/>
      <c r="B70" s="35"/>
      <c r="C70" s="35"/>
      <c r="D70" s="94"/>
      <c r="E70" s="77" t="s">
        <v>2269</v>
      </c>
      <c r="F70" s="457">
        <v>18</v>
      </c>
      <c r="G70" s="333"/>
      <c r="H70" s="558"/>
    </row>
    <row r="71" spans="1:13" customFormat="1" ht="15">
      <c r="A71" s="290"/>
      <c r="B71" s="328"/>
      <c r="C71" s="331"/>
      <c r="D71" s="332"/>
      <c r="E71" s="77" t="s">
        <v>2270</v>
      </c>
      <c r="F71" s="457">
        <v>2</v>
      </c>
      <c r="G71" s="333"/>
      <c r="H71" s="558"/>
    </row>
    <row r="72" spans="1:13" customFormat="1" ht="15">
      <c r="A72" s="334"/>
      <c r="B72" s="328"/>
      <c r="C72" s="36"/>
      <c r="D72" s="37"/>
      <c r="E72" s="77" t="s">
        <v>2271</v>
      </c>
      <c r="F72" s="1307">
        <v>92</v>
      </c>
      <c r="G72" s="40"/>
      <c r="H72" s="559"/>
    </row>
    <row r="73" spans="1:13" customFormat="1" ht="15">
      <c r="A73" s="290"/>
      <c r="B73" s="328"/>
      <c r="C73" s="117"/>
      <c r="D73" s="191"/>
      <c r="E73" s="77" t="s">
        <v>2272</v>
      </c>
      <c r="F73" s="1307">
        <v>20</v>
      </c>
      <c r="G73" s="32"/>
      <c r="H73" s="560"/>
    </row>
    <row r="74" spans="1:13" customFormat="1" ht="15">
      <c r="A74" s="290"/>
      <c r="B74" s="328"/>
      <c r="C74" s="117"/>
      <c r="D74" s="37"/>
      <c r="E74" s="77" t="s">
        <v>2273</v>
      </c>
      <c r="F74" s="457">
        <v>4</v>
      </c>
      <c r="G74" s="40"/>
      <c r="H74" s="561"/>
    </row>
    <row r="75" spans="1:13" customFormat="1" ht="15">
      <c r="A75" s="72"/>
      <c r="B75" s="329"/>
      <c r="C75" s="66"/>
      <c r="D75" s="67"/>
      <c r="E75" s="77" t="s">
        <v>2274</v>
      </c>
      <c r="F75" s="46">
        <v>16</v>
      </c>
      <c r="G75" s="62"/>
      <c r="H75" s="560"/>
    </row>
    <row r="76" spans="1:13" customFormat="1" ht="15">
      <c r="A76" s="265"/>
      <c r="B76" s="237"/>
      <c r="C76" s="422"/>
      <c r="D76" s="422"/>
      <c r="E76" s="77" t="s">
        <v>2275</v>
      </c>
      <c r="F76" s="311">
        <v>5</v>
      </c>
      <c r="G76" s="508"/>
      <c r="H76" s="562"/>
    </row>
    <row r="77" spans="1:13" s="98" customFormat="1" ht="15">
      <c r="A77" s="95"/>
      <c r="B77" s="35"/>
      <c r="C77" s="35"/>
      <c r="D77" s="94"/>
      <c r="E77" s="77" t="s">
        <v>2276</v>
      </c>
      <c r="F77" s="457">
        <v>8</v>
      </c>
      <c r="G77" s="514"/>
      <c r="H77" s="563"/>
      <c r="I77"/>
      <c r="J77"/>
      <c r="K77"/>
      <c r="L77"/>
      <c r="M77"/>
    </row>
    <row r="78" spans="1:13" customFormat="1" ht="15">
      <c r="A78" s="334"/>
      <c r="B78" s="194"/>
      <c r="C78" s="195"/>
      <c r="D78" s="196"/>
      <c r="E78" s="77" t="s">
        <v>2277</v>
      </c>
      <c r="F78" s="457">
        <v>11</v>
      </c>
      <c r="G78" s="286"/>
      <c r="H78" s="532"/>
    </row>
    <row r="79" spans="1:13" customFormat="1" ht="15">
      <c r="A79" s="72"/>
      <c r="B79" s="197"/>
      <c r="C79" s="198"/>
      <c r="D79" s="199"/>
      <c r="E79" s="77" t="s">
        <v>2278</v>
      </c>
      <c r="F79" s="457">
        <v>2</v>
      </c>
      <c r="G79" s="295"/>
      <c r="H79" s="535"/>
    </row>
    <row r="80" spans="1:13" customFormat="1" ht="15">
      <c r="A80" s="72"/>
      <c r="B80" s="197"/>
      <c r="C80" s="198"/>
      <c r="D80" s="199"/>
      <c r="E80" s="71" t="s">
        <v>2279</v>
      </c>
      <c r="F80" s="457">
        <v>3</v>
      </c>
      <c r="G80" s="295"/>
      <c r="H80" s="535"/>
    </row>
    <row r="81" spans="1:13" customFormat="1" ht="15">
      <c r="A81" s="334"/>
      <c r="B81" s="194"/>
      <c r="C81" s="195"/>
      <c r="D81" s="196"/>
      <c r="E81" s="77" t="s">
        <v>2280</v>
      </c>
      <c r="F81" s="458">
        <v>9</v>
      </c>
      <c r="G81" s="286"/>
      <c r="H81" s="532"/>
    </row>
    <row r="82" spans="1:13" customFormat="1" ht="15">
      <c r="A82" s="334"/>
      <c r="B82" s="194"/>
      <c r="C82" s="195"/>
      <c r="D82" s="196"/>
      <c r="E82" s="77"/>
      <c r="F82" s="454">
        <f>SUM(F68:F81)</f>
        <v>194</v>
      </c>
      <c r="G82" s="286"/>
      <c r="H82" s="532"/>
      <c r="M82" s="489"/>
    </row>
    <row r="83" spans="1:13" customFormat="1" ht="25.5">
      <c r="A83" s="334"/>
      <c r="B83" s="194"/>
      <c r="C83" s="195"/>
      <c r="D83" s="196"/>
      <c r="E83" s="77" t="s">
        <v>2281</v>
      </c>
      <c r="F83" s="454"/>
      <c r="G83" s="286"/>
      <c r="H83" s="532"/>
    </row>
    <row r="84" spans="1:13" customFormat="1" ht="15">
      <c r="A84" s="334"/>
      <c r="B84" s="197"/>
      <c r="C84" s="198"/>
      <c r="D84" s="199"/>
      <c r="E84" s="71"/>
      <c r="F84" s="564"/>
      <c r="G84" s="295"/>
      <c r="H84" s="535"/>
    </row>
    <row r="85" spans="1:13" customFormat="1" ht="15">
      <c r="A85" s="34">
        <f>MAX(A$1:A84)+1</f>
        <v>12</v>
      </c>
      <c r="B85" s="197"/>
      <c r="C85" s="37">
        <v>91030204</v>
      </c>
      <c r="D85" s="199"/>
      <c r="E85" s="38" t="s">
        <v>2282</v>
      </c>
      <c r="F85" s="564"/>
      <c r="G85" s="40" t="s">
        <v>36</v>
      </c>
      <c r="H85" s="556">
        <v>14200</v>
      </c>
    </row>
    <row r="86" spans="1:13" customFormat="1" ht="15">
      <c r="A86" s="334"/>
      <c r="B86" s="194"/>
      <c r="C86" s="195"/>
      <c r="D86" s="66">
        <v>9103020401</v>
      </c>
      <c r="E86" s="71" t="s">
        <v>2283</v>
      </c>
      <c r="F86" s="127"/>
      <c r="G86" s="62" t="s">
        <v>36</v>
      </c>
      <c r="H86" s="586">
        <v>14200</v>
      </c>
    </row>
    <row r="87" spans="1:13" customFormat="1" ht="15">
      <c r="A87" s="334"/>
      <c r="B87" s="197"/>
      <c r="C87" s="198"/>
      <c r="D87" s="199"/>
      <c r="E87" s="77" t="s">
        <v>2284</v>
      </c>
      <c r="F87" s="224">
        <v>14200</v>
      </c>
      <c r="G87" s="295"/>
      <c r="H87" s="535"/>
    </row>
    <row r="88" spans="1:13" customFormat="1" ht="15">
      <c r="A88" s="334"/>
      <c r="B88" s="197"/>
      <c r="C88" s="198"/>
      <c r="D88" s="199"/>
      <c r="E88" s="71"/>
      <c r="F88" s="564"/>
      <c r="G88" s="295"/>
      <c r="H88" s="535"/>
    </row>
    <row r="89" spans="1:13" customFormat="1" ht="15">
      <c r="A89" s="34">
        <f>MAX(A$1:A88)+1</f>
        <v>13</v>
      </c>
      <c r="B89" s="194"/>
      <c r="C89" s="195">
        <v>91030205</v>
      </c>
      <c r="D89" s="196"/>
      <c r="E89" s="38" t="s">
        <v>2285</v>
      </c>
      <c r="F89" s="127"/>
      <c r="G89" s="40" t="s">
        <v>36</v>
      </c>
      <c r="H89" s="556">
        <v>5815</v>
      </c>
    </row>
    <row r="90" spans="1:13" customFormat="1" ht="15">
      <c r="A90" s="334"/>
      <c r="B90" s="197"/>
      <c r="C90" s="198"/>
      <c r="D90" s="199">
        <v>9103020503</v>
      </c>
      <c r="E90" s="71" t="s">
        <v>2286</v>
      </c>
      <c r="F90" s="564"/>
      <c r="G90" s="62" t="s">
        <v>36</v>
      </c>
      <c r="H90" s="586">
        <v>5815</v>
      </c>
    </row>
    <row r="91" spans="1:13" customFormat="1" ht="15">
      <c r="A91" s="334"/>
      <c r="B91" s="197"/>
      <c r="C91" s="198"/>
      <c r="D91" s="199"/>
      <c r="E91" s="77" t="s">
        <v>2287</v>
      </c>
      <c r="F91" s="224">
        <v>5815</v>
      </c>
      <c r="G91" s="62"/>
      <c r="H91" s="557"/>
    </row>
    <row r="92" spans="1:13" customFormat="1" ht="15">
      <c r="A92" s="334"/>
      <c r="B92" s="194"/>
      <c r="C92" s="195"/>
      <c r="D92" s="196"/>
      <c r="E92" s="38"/>
      <c r="F92" s="127"/>
      <c r="G92" s="286"/>
      <c r="H92" s="532"/>
    </row>
    <row r="93" spans="1:13" customFormat="1" ht="15">
      <c r="A93" s="34">
        <f>MAX(A$1:A92)+1</f>
        <v>14</v>
      </c>
      <c r="B93" s="197"/>
      <c r="C93" s="195">
        <v>91030208</v>
      </c>
      <c r="D93" s="199"/>
      <c r="E93" s="38" t="s">
        <v>2288</v>
      </c>
      <c r="F93" s="564"/>
      <c r="G93" s="40" t="s">
        <v>33</v>
      </c>
      <c r="H93" s="556">
        <v>4</v>
      </c>
    </row>
    <row r="94" spans="1:13" customFormat="1" ht="15">
      <c r="A94" s="334"/>
      <c r="B94" s="197"/>
      <c r="C94" s="198"/>
      <c r="D94" s="199">
        <v>9103020801</v>
      </c>
      <c r="E94" s="71" t="s">
        <v>2289</v>
      </c>
      <c r="F94" s="564"/>
      <c r="G94" s="62" t="s">
        <v>33</v>
      </c>
      <c r="H94" s="557">
        <v>4</v>
      </c>
    </row>
    <row r="95" spans="1:13" customFormat="1" ht="12" customHeight="1">
      <c r="A95" s="334"/>
      <c r="B95" s="194"/>
      <c r="C95" s="195"/>
      <c r="D95" s="196"/>
      <c r="E95" s="77" t="s">
        <v>2290</v>
      </c>
      <c r="F95" s="212">
        <v>4</v>
      </c>
      <c r="G95" s="286"/>
      <c r="H95" s="532"/>
    </row>
    <row r="96" spans="1:13" customFormat="1" ht="15">
      <c r="A96" s="334"/>
      <c r="B96" s="197"/>
      <c r="C96" s="198"/>
      <c r="D96" s="199"/>
      <c r="E96" s="71"/>
      <c r="F96" s="564"/>
      <c r="G96" s="295"/>
      <c r="H96" s="535"/>
    </row>
    <row r="97" spans="1:13" customFormat="1" ht="15">
      <c r="A97" s="34">
        <f>MAX(A$1:A96)+1</f>
        <v>15</v>
      </c>
      <c r="B97" s="197"/>
      <c r="C97" s="195">
        <v>91030209</v>
      </c>
      <c r="D97" s="199"/>
      <c r="E97" s="38" t="s">
        <v>2291</v>
      </c>
      <c r="F97" s="564"/>
      <c r="G97" s="40" t="s">
        <v>33</v>
      </c>
      <c r="H97" s="556">
        <v>22</v>
      </c>
    </row>
    <row r="98" spans="1:13" customFormat="1" ht="15">
      <c r="A98" s="334"/>
      <c r="B98" s="194"/>
      <c r="C98" s="195"/>
      <c r="D98" s="199">
        <v>9103020902</v>
      </c>
      <c r="E98" s="71" t="s">
        <v>2292</v>
      </c>
      <c r="F98" s="137"/>
      <c r="G98" s="62" t="s">
        <v>33</v>
      </c>
      <c r="H98" s="557">
        <v>22</v>
      </c>
    </row>
    <row r="99" spans="1:13" customFormat="1" ht="15">
      <c r="A99" s="334"/>
      <c r="B99" s="197"/>
      <c r="C99" s="198"/>
      <c r="D99" s="199"/>
      <c r="E99" s="71"/>
      <c r="F99" s="565"/>
      <c r="G99" s="295"/>
      <c r="H99" s="535"/>
    </row>
    <row r="100" spans="1:13" customFormat="1" ht="15">
      <c r="A100" s="34">
        <f>MAX(A$1:A99)+1</f>
        <v>16</v>
      </c>
      <c r="B100" s="197"/>
      <c r="C100" s="195">
        <v>91030213</v>
      </c>
      <c r="D100" s="199"/>
      <c r="E100" s="38" t="s">
        <v>2293</v>
      </c>
      <c r="F100" s="565"/>
      <c r="G100" s="40" t="s">
        <v>33</v>
      </c>
      <c r="H100" s="556">
        <v>915</v>
      </c>
    </row>
    <row r="101" spans="1:13" customFormat="1" ht="15" customHeight="1">
      <c r="A101" s="334"/>
      <c r="B101" s="194"/>
      <c r="C101" s="195"/>
      <c r="D101" s="199">
        <v>9103021301</v>
      </c>
      <c r="E101" s="71" t="s">
        <v>2294</v>
      </c>
      <c r="F101" s="137"/>
      <c r="G101" s="62" t="s">
        <v>33</v>
      </c>
      <c r="H101" s="557">
        <v>149</v>
      </c>
    </row>
    <row r="102" spans="1:13" customFormat="1" ht="15">
      <c r="A102" s="334"/>
      <c r="B102" s="197"/>
      <c r="C102" s="198"/>
      <c r="D102" s="199"/>
      <c r="E102" s="77" t="s">
        <v>2295</v>
      </c>
      <c r="F102" s="212">
        <v>2</v>
      </c>
      <c r="G102" s="295"/>
      <c r="H102" s="535"/>
    </row>
    <row r="103" spans="1:13" customFormat="1" ht="15">
      <c r="A103" s="334"/>
      <c r="B103" s="197"/>
      <c r="C103" s="198"/>
      <c r="D103" s="199"/>
      <c r="E103" s="65" t="s">
        <v>2261</v>
      </c>
      <c r="F103" s="212">
        <v>45</v>
      </c>
      <c r="G103" s="295"/>
      <c r="H103" s="535"/>
    </row>
    <row r="104" spans="1:13" customFormat="1" ht="15">
      <c r="A104" s="334"/>
      <c r="B104" s="194"/>
      <c r="C104" s="195"/>
      <c r="D104" s="196"/>
      <c r="E104" s="65" t="s">
        <v>2296</v>
      </c>
      <c r="F104" s="212">
        <v>30</v>
      </c>
      <c r="G104" s="286"/>
      <c r="H104" s="532"/>
    </row>
    <row r="105" spans="1:13" customFormat="1" ht="15">
      <c r="A105" s="334"/>
      <c r="B105" s="197"/>
      <c r="C105" s="198"/>
      <c r="D105" s="199"/>
      <c r="E105" s="65" t="s">
        <v>2297</v>
      </c>
      <c r="F105" s="212">
        <v>23</v>
      </c>
      <c r="G105" s="295"/>
      <c r="H105" s="535"/>
    </row>
    <row r="106" spans="1:13" customFormat="1" ht="15">
      <c r="A106" s="334"/>
      <c r="B106" s="197"/>
      <c r="C106" s="198"/>
      <c r="D106" s="199"/>
      <c r="E106" s="65" t="s">
        <v>2298</v>
      </c>
      <c r="F106" s="212">
        <v>12</v>
      </c>
      <c r="G106" s="295"/>
      <c r="H106" s="535"/>
    </row>
    <row r="107" spans="1:13" customFormat="1" ht="12.75" customHeight="1">
      <c r="A107" s="334"/>
      <c r="B107" s="302"/>
      <c r="C107" s="195"/>
      <c r="D107" s="196"/>
      <c r="E107" s="65" t="s">
        <v>2299</v>
      </c>
      <c r="F107" s="58">
        <v>16</v>
      </c>
      <c r="G107" s="286"/>
      <c r="H107" s="540"/>
    </row>
    <row r="108" spans="1:13" customFormat="1" ht="12.75" customHeight="1">
      <c r="A108" s="443"/>
      <c r="B108" s="302"/>
      <c r="C108" s="198"/>
      <c r="D108" s="199"/>
      <c r="E108" s="65" t="s">
        <v>2300</v>
      </c>
      <c r="F108" s="58">
        <v>4</v>
      </c>
      <c r="G108" s="295"/>
      <c r="H108" s="566"/>
    </row>
    <row r="109" spans="1:13" customFormat="1" ht="12.75" customHeight="1">
      <c r="A109" s="443"/>
      <c r="B109" s="302"/>
      <c r="C109" s="198"/>
      <c r="D109" s="199"/>
      <c r="E109" s="65" t="s">
        <v>2301</v>
      </c>
      <c r="F109" s="131">
        <v>10</v>
      </c>
      <c r="G109" s="295"/>
      <c r="H109" s="567"/>
    </row>
    <row r="110" spans="1:13" customFormat="1" ht="12.75" customHeight="1">
      <c r="A110" s="443"/>
      <c r="B110" s="302"/>
      <c r="C110" s="198"/>
      <c r="D110" s="199"/>
      <c r="E110" s="65" t="s">
        <v>2302</v>
      </c>
      <c r="F110" s="131">
        <v>2</v>
      </c>
      <c r="G110" s="295"/>
      <c r="H110" s="567"/>
    </row>
    <row r="111" spans="1:13" customFormat="1" ht="12.75" customHeight="1">
      <c r="A111" s="443"/>
      <c r="B111" s="302"/>
      <c r="C111" s="198"/>
      <c r="D111" s="199"/>
      <c r="E111" s="65" t="s">
        <v>2303</v>
      </c>
      <c r="F111" s="306">
        <v>5</v>
      </c>
      <c r="G111" s="295"/>
      <c r="H111" s="567"/>
    </row>
    <row r="112" spans="1:13" customFormat="1" ht="12.75" customHeight="1">
      <c r="A112" s="443"/>
      <c r="B112" s="302"/>
      <c r="C112" s="198"/>
      <c r="D112" s="199"/>
      <c r="E112" s="129"/>
      <c r="F112" s="509">
        <f>SUM(F102:F111)</f>
        <v>149</v>
      </c>
      <c r="G112" s="295"/>
      <c r="H112" s="567"/>
      <c r="M112" s="489"/>
    </row>
    <row r="113" spans="1:17" ht="15">
      <c r="A113" s="293"/>
      <c r="B113" s="340"/>
      <c r="C113" s="341"/>
      <c r="D113" s="199">
        <v>9103021302</v>
      </c>
      <c r="E113" s="71" t="s">
        <v>2304</v>
      </c>
      <c r="F113" s="548"/>
      <c r="G113" s="62" t="s">
        <v>33</v>
      </c>
      <c r="H113" s="557">
        <v>128</v>
      </c>
      <c r="J113"/>
    </row>
    <row r="114" spans="1:17" s="450" customFormat="1" ht="15">
      <c r="A114" s="446"/>
      <c r="B114" s="447"/>
      <c r="C114" s="448"/>
      <c r="D114" s="449"/>
      <c r="E114" s="77" t="s">
        <v>2305</v>
      </c>
      <c r="F114" s="515">
        <v>82</v>
      </c>
      <c r="G114" s="516"/>
      <c r="H114" s="535"/>
      <c r="J114"/>
    </row>
    <row r="115" spans="1:17" s="450" customFormat="1" ht="15">
      <c r="A115" s="446"/>
      <c r="B115" s="447"/>
      <c r="C115" s="448"/>
      <c r="D115" s="449"/>
      <c r="E115" s="77" t="s">
        <v>2306</v>
      </c>
      <c r="F115" s="515">
        <v>17</v>
      </c>
      <c r="G115" s="516"/>
      <c r="H115" s="553"/>
      <c r="J115"/>
    </row>
    <row r="116" spans="1:17" ht="15">
      <c r="A116" s="334"/>
      <c r="B116" s="335"/>
      <c r="C116" s="195"/>
      <c r="D116" s="196"/>
      <c r="E116" s="77" t="s">
        <v>2307</v>
      </c>
      <c r="F116" s="58">
        <v>8</v>
      </c>
      <c r="G116" s="511"/>
      <c r="H116" s="544"/>
      <c r="J116"/>
      <c r="K116" s="450"/>
      <c r="L116" s="450"/>
      <c r="M116" s="450"/>
    </row>
    <row r="117" spans="1:17" ht="15">
      <c r="A117" s="293"/>
      <c r="B117" s="335"/>
      <c r="C117" s="198"/>
      <c r="D117" s="199"/>
      <c r="E117" s="77" t="s">
        <v>2308</v>
      </c>
      <c r="F117" s="58">
        <v>9</v>
      </c>
      <c r="G117" s="512"/>
      <c r="H117" s="545"/>
      <c r="J117"/>
      <c r="K117" s="450"/>
      <c r="L117" s="450"/>
      <c r="M117" s="450"/>
    </row>
    <row r="118" spans="1:17" ht="15">
      <c r="A118" s="293"/>
      <c r="B118" s="340"/>
      <c r="C118" s="341"/>
      <c r="D118" s="342"/>
      <c r="E118" s="77" t="s">
        <v>2309</v>
      </c>
      <c r="F118" s="58">
        <v>4</v>
      </c>
      <c r="G118" s="512"/>
      <c r="H118" s="535"/>
      <c r="J118"/>
      <c r="K118" s="450"/>
      <c r="L118" s="450"/>
      <c r="M118" s="450"/>
    </row>
    <row r="119" spans="1:17" ht="15">
      <c r="A119" s="293"/>
      <c r="B119" s="335"/>
      <c r="C119" s="455"/>
      <c r="D119" s="342"/>
      <c r="E119" s="77" t="s">
        <v>2310</v>
      </c>
      <c r="F119" s="58">
        <v>7</v>
      </c>
      <c r="G119" s="512"/>
      <c r="H119" s="535"/>
      <c r="J119"/>
      <c r="K119" s="450"/>
      <c r="L119" s="450"/>
      <c r="M119" s="450"/>
    </row>
    <row r="120" spans="1:17" customFormat="1" ht="15">
      <c r="A120" s="334"/>
      <c r="B120" s="302"/>
      <c r="C120" s="195"/>
      <c r="D120" s="196"/>
      <c r="E120" s="77" t="s">
        <v>2311</v>
      </c>
      <c r="F120" s="56">
        <v>1</v>
      </c>
      <c r="G120" s="286"/>
      <c r="H120" s="540"/>
      <c r="K120" s="450"/>
      <c r="L120" s="450"/>
      <c r="M120" s="450"/>
    </row>
    <row r="121" spans="1:17" customFormat="1" ht="15">
      <c r="A121" s="443"/>
      <c r="B121" s="302"/>
      <c r="C121" s="198"/>
      <c r="D121" s="199"/>
      <c r="E121" s="71"/>
      <c r="F121" s="58">
        <f>SUM(F114:F120)</f>
        <v>128</v>
      </c>
      <c r="G121" s="295"/>
      <c r="H121" s="566"/>
      <c r="M121" s="950"/>
    </row>
    <row r="122" spans="1:17" customFormat="1" ht="15">
      <c r="A122" s="443"/>
      <c r="B122" s="302"/>
      <c r="C122" s="198"/>
      <c r="D122" s="199">
        <v>9103021303</v>
      </c>
      <c r="E122" s="71" t="s">
        <v>2312</v>
      </c>
      <c r="F122" s="322"/>
      <c r="G122" s="62" t="s">
        <v>33</v>
      </c>
      <c r="H122" s="557">
        <v>638</v>
      </c>
    </row>
    <row r="123" spans="1:17" ht="15">
      <c r="A123" s="334"/>
      <c r="B123" s="335"/>
      <c r="C123" s="195"/>
      <c r="D123" s="196"/>
      <c r="E123" s="65" t="s">
        <v>2313</v>
      </c>
      <c r="F123" s="212">
        <v>245</v>
      </c>
      <c r="G123" s="511"/>
      <c r="H123" s="532"/>
      <c r="J123"/>
    </row>
    <row r="124" spans="1:17" ht="15">
      <c r="A124" s="293"/>
      <c r="B124" s="340"/>
      <c r="C124" s="341"/>
      <c r="D124" s="199"/>
      <c r="E124" s="65" t="s">
        <v>2314</v>
      </c>
      <c r="F124" s="212">
        <v>74</v>
      </c>
      <c r="G124" s="512"/>
      <c r="H124" s="535"/>
      <c r="J124"/>
    </row>
    <row r="125" spans="1:17" s="450" customFormat="1" ht="15">
      <c r="A125" s="446"/>
      <c r="B125" s="447"/>
      <c r="C125" s="452"/>
      <c r="D125" s="449"/>
      <c r="E125" s="65" t="s">
        <v>2315</v>
      </c>
      <c r="F125" s="517">
        <v>319</v>
      </c>
      <c r="G125" s="516"/>
      <c r="H125" s="553"/>
      <c r="J125"/>
      <c r="K125" s="410"/>
    </row>
    <row r="126" spans="1:17" s="450" customFormat="1" ht="15">
      <c r="A126" s="446"/>
      <c r="B126" s="447"/>
      <c r="C126" s="452"/>
      <c r="D126" s="449"/>
      <c r="E126" s="546"/>
      <c r="F126" s="515">
        <f>SUM(F123:F125)</f>
        <v>638</v>
      </c>
      <c r="G126" s="516"/>
      <c r="H126" s="553"/>
      <c r="J126"/>
      <c r="K126" s="950"/>
      <c r="Q126" s="951"/>
    </row>
    <row r="127" spans="1:17" s="450" customFormat="1" ht="15">
      <c r="A127" s="446"/>
      <c r="B127" s="447"/>
      <c r="C127" s="452"/>
      <c r="D127" s="518"/>
      <c r="E127" s="546"/>
      <c r="F127" s="568"/>
      <c r="G127" s="516"/>
      <c r="H127" s="553"/>
      <c r="J127"/>
    </row>
    <row r="128" spans="1:17" s="450" customFormat="1" ht="15">
      <c r="A128" s="34">
        <f>MAX(A$1:A127)+1</f>
        <v>17</v>
      </c>
      <c r="B128" s="447"/>
      <c r="C128" s="195">
        <v>91030214</v>
      </c>
      <c r="D128" s="518"/>
      <c r="E128" s="38" t="s">
        <v>2316</v>
      </c>
      <c r="F128" s="568"/>
      <c r="G128" s="40" t="s">
        <v>33</v>
      </c>
      <c r="H128" s="556">
        <v>87</v>
      </c>
      <c r="J128"/>
    </row>
    <row r="129" spans="1:10" s="450" customFormat="1" ht="15">
      <c r="A129" s="446"/>
      <c r="B129" s="447"/>
      <c r="C129" s="452"/>
      <c r="D129" s="199">
        <v>9103021402</v>
      </c>
      <c r="E129" s="71" t="s">
        <v>2317</v>
      </c>
      <c r="F129" s="568"/>
      <c r="G129" s="62" t="s">
        <v>33</v>
      </c>
      <c r="H129" s="557">
        <v>87</v>
      </c>
      <c r="J129"/>
    </row>
    <row r="130" spans="1:10" s="450" customFormat="1" ht="15">
      <c r="A130" s="446"/>
      <c r="B130" s="447"/>
      <c r="C130" s="452"/>
      <c r="D130" s="518"/>
      <c r="E130" s="77" t="s">
        <v>2318</v>
      </c>
      <c r="F130" s="212">
        <v>87</v>
      </c>
      <c r="G130" s="516"/>
      <c r="H130" s="553"/>
      <c r="J130"/>
    </row>
    <row r="131" spans="1:10" s="450" customFormat="1" ht="15">
      <c r="A131" s="446"/>
      <c r="B131" s="447"/>
      <c r="C131" s="452"/>
      <c r="D131" s="518"/>
      <c r="E131" s="546"/>
      <c r="F131" s="568"/>
      <c r="G131" s="516"/>
      <c r="H131" s="553"/>
      <c r="J131"/>
    </row>
    <row r="132" spans="1:10" s="450" customFormat="1" ht="15">
      <c r="A132" s="34">
        <f>MAX(A$1:A131)+1</f>
        <v>18</v>
      </c>
      <c r="B132" s="447"/>
      <c r="C132" s="195">
        <v>91030215</v>
      </c>
      <c r="D132" s="518"/>
      <c r="E132" s="38" t="s">
        <v>2319</v>
      </c>
      <c r="F132" s="568"/>
      <c r="G132" s="40" t="s">
        <v>33</v>
      </c>
      <c r="H132" s="556">
        <v>18</v>
      </c>
      <c r="J132"/>
    </row>
    <row r="133" spans="1:10" s="450" customFormat="1" ht="15">
      <c r="A133" s="446"/>
      <c r="B133" s="447"/>
      <c r="C133" s="452"/>
      <c r="D133" s="199">
        <v>9103021502</v>
      </c>
      <c r="E133" s="71" t="s">
        <v>2320</v>
      </c>
      <c r="F133" s="568"/>
      <c r="G133" s="62" t="s">
        <v>33</v>
      </c>
      <c r="H133" s="557">
        <v>18</v>
      </c>
      <c r="J133"/>
    </row>
    <row r="134" spans="1:10" s="450" customFormat="1" ht="15">
      <c r="A134" s="446"/>
      <c r="B134" s="447"/>
      <c r="C134" s="452"/>
      <c r="D134" s="518"/>
      <c r="E134" s="77" t="s">
        <v>2321</v>
      </c>
      <c r="F134" s="212">
        <v>1</v>
      </c>
      <c r="G134" s="516"/>
      <c r="H134" s="553"/>
      <c r="J134"/>
    </row>
    <row r="135" spans="1:10" s="450" customFormat="1" ht="15">
      <c r="A135" s="446"/>
      <c r="B135" s="447"/>
      <c r="C135" s="452"/>
      <c r="D135" s="518"/>
      <c r="E135" s="77" t="s">
        <v>2322</v>
      </c>
      <c r="F135" s="212">
        <v>1</v>
      </c>
      <c r="G135" s="516"/>
      <c r="H135" s="553"/>
      <c r="J135"/>
    </row>
    <row r="136" spans="1:10" s="450" customFormat="1" ht="15">
      <c r="A136" s="446"/>
      <c r="B136" s="447"/>
      <c r="C136" s="452"/>
      <c r="D136" s="518"/>
      <c r="E136" s="77" t="s">
        <v>2323</v>
      </c>
      <c r="F136" s="213">
        <v>16</v>
      </c>
      <c r="G136" s="516"/>
      <c r="H136" s="553"/>
      <c r="J136"/>
    </row>
    <row r="137" spans="1:10" s="450" customFormat="1" ht="15">
      <c r="A137" s="446"/>
      <c r="B137" s="447"/>
      <c r="C137" s="452"/>
      <c r="D137" s="518"/>
      <c r="E137" s="546"/>
      <c r="F137" s="568">
        <f>SUM(F134:F136)</f>
        <v>18</v>
      </c>
      <c r="G137" s="516"/>
      <c r="H137" s="553"/>
      <c r="J137"/>
    </row>
    <row r="138" spans="1:10" s="450" customFormat="1" ht="15">
      <c r="A138" s="446"/>
      <c r="B138" s="447"/>
      <c r="C138" s="452"/>
      <c r="D138" s="518"/>
      <c r="E138" s="546"/>
      <c r="F138" s="568"/>
      <c r="G138" s="516"/>
      <c r="H138" s="553"/>
      <c r="J138"/>
    </row>
    <row r="139" spans="1:10" s="450" customFormat="1" ht="15">
      <c r="A139" s="34">
        <f>MAX(A$1:A138)+1</f>
        <v>19</v>
      </c>
      <c r="B139" s="447"/>
      <c r="C139" s="195">
        <v>91030216</v>
      </c>
      <c r="D139" s="518"/>
      <c r="E139" s="38" t="s">
        <v>2324</v>
      </c>
      <c r="F139" s="568"/>
      <c r="G139" s="40" t="s">
        <v>33</v>
      </c>
      <c r="H139" s="556">
        <v>14</v>
      </c>
      <c r="J139"/>
    </row>
    <row r="140" spans="1:10" s="450" customFormat="1" ht="15">
      <c r="A140" s="446"/>
      <c r="B140" s="447"/>
      <c r="C140" s="452"/>
      <c r="D140" s="199">
        <v>9103021601</v>
      </c>
      <c r="E140" s="71" t="s">
        <v>2325</v>
      </c>
      <c r="F140" s="568"/>
      <c r="G140" s="62" t="s">
        <v>33</v>
      </c>
      <c r="H140" s="557">
        <v>14</v>
      </c>
      <c r="J140"/>
    </row>
    <row r="141" spans="1:10" s="450" customFormat="1" ht="15">
      <c r="A141" s="446"/>
      <c r="B141" s="447"/>
      <c r="C141" s="452"/>
      <c r="D141" s="518"/>
      <c r="E141" s="77" t="s">
        <v>2326</v>
      </c>
      <c r="F141" s="212">
        <v>2</v>
      </c>
      <c r="G141" s="516"/>
      <c r="H141" s="553"/>
      <c r="J141"/>
    </row>
    <row r="142" spans="1:10" s="450" customFormat="1" ht="15">
      <c r="A142" s="446"/>
      <c r="B142" s="447"/>
      <c r="C142" s="452"/>
      <c r="D142" s="518"/>
      <c r="E142" s="77" t="s">
        <v>2327</v>
      </c>
      <c r="F142" s="212">
        <v>1</v>
      </c>
      <c r="G142" s="516"/>
      <c r="H142" s="553"/>
      <c r="J142"/>
    </row>
    <row r="143" spans="1:10" s="450" customFormat="1" ht="15">
      <c r="A143" s="446"/>
      <c r="B143" s="447"/>
      <c r="C143" s="452"/>
      <c r="D143" s="518"/>
      <c r="E143" s="77" t="s">
        <v>2328</v>
      </c>
      <c r="F143" s="212">
        <v>1</v>
      </c>
      <c r="G143" s="516"/>
      <c r="H143" s="553"/>
      <c r="J143"/>
    </row>
    <row r="144" spans="1:10" s="450" customFormat="1" ht="15">
      <c r="A144" s="446"/>
      <c r="B144" s="447"/>
      <c r="C144" s="452"/>
      <c r="D144" s="518"/>
      <c r="E144" s="77" t="s">
        <v>2329</v>
      </c>
      <c r="F144" s="212">
        <v>2</v>
      </c>
      <c r="G144" s="516"/>
      <c r="H144" s="553"/>
      <c r="J144"/>
    </row>
    <row r="145" spans="1:12" s="450" customFormat="1" ht="12.75" customHeight="1">
      <c r="A145" s="446"/>
      <c r="B145" s="447"/>
      <c r="C145" s="452"/>
      <c r="D145" s="518"/>
      <c r="E145" s="77" t="s">
        <v>2330</v>
      </c>
      <c r="F145" s="212">
        <v>4</v>
      </c>
      <c r="G145" s="516"/>
      <c r="H145" s="553"/>
      <c r="J145"/>
    </row>
    <row r="146" spans="1:12" s="450" customFormat="1" ht="12.75" customHeight="1">
      <c r="A146" s="446"/>
      <c r="B146" s="447"/>
      <c r="C146" s="452"/>
      <c r="D146" s="518"/>
      <c r="E146" s="77" t="s">
        <v>2331</v>
      </c>
      <c r="F146" s="952">
        <v>4</v>
      </c>
      <c r="G146" s="516"/>
      <c r="H146" s="553"/>
      <c r="J146"/>
    </row>
    <row r="147" spans="1:12" s="450" customFormat="1" ht="15">
      <c r="A147" s="446"/>
      <c r="B147" s="447"/>
      <c r="C147" s="452"/>
      <c r="D147" s="518"/>
      <c r="E147" s="546"/>
      <c r="F147" s="515">
        <f>SUM(F141:F146)</f>
        <v>14</v>
      </c>
      <c r="G147" s="516"/>
      <c r="H147" s="553"/>
      <c r="J147"/>
      <c r="L147" s="950"/>
    </row>
    <row r="148" spans="1:12" s="450" customFormat="1" ht="15">
      <c r="A148" s="446"/>
      <c r="B148" s="447"/>
      <c r="C148" s="452"/>
      <c r="D148" s="518"/>
      <c r="E148" s="546"/>
      <c r="F148" s="568"/>
      <c r="G148" s="516"/>
      <c r="H148" s="553"/>
      <c r="J148"/>
    </row>
    <row r="149" spans="1:12" s="450" customFormat="1" ht="15">
      <c r="A149" s="34">
        <f>MAX(A$1:A148)+1</f>
        <v>20</v>
      </c>
      <c r="B149" s="447"/>
      <c r="C149" s="195">
        <v>91030218</v>
      </c>
      <c r="D149" s="518"/>
      <c r="E149" s="38" t="s">
        <v>2332</v>
      </c>
      <c r="F149" s="568"/>
      <c r="G149" s="40" t="s">
        <v>33</v>
      </c>
      <c r="H149" s="556">
        <v>40</v>
      </c>
      <c r="J149"/>
    </row>
    <row r="150" spans="1:12" s="450" customFormat="1" ht="25.5">
      <c r="A150" s="446"/>
      <c r="B150" s="447"/>
      <c r="C150" s="452"/>
      <c r="D150" s="199">
        <v>9103021801</v>
      </c>
      <c r="E150" s="71" t="s">
        <v>2333</v>
      </c>
      <c r="F150" s="568"/>
      <c r="G150" s="62" t="s">
        <v>33</v>
      </c>
      <c r="H150" s="557">
        <v>40</v>
      </c>
      <c r="J150"/>
    </row>
    <row r="151" spans="1:12" s="450" customFormat="1" ht="12.75" customHeight="1">
      <c r="A151" s="446"/>
      <c r="B151" s="447"/>
      <c r="C151" s="452"/>
      <c r="D151" s="518"/>
      <c r="E151" s="546"/>
      <c r="F151" s="515"/>
      <c r="G151" s="516"/>
      <c r="H151" s="553"/>
      <c r="J151"/>
    </row>
    <row r="152" spans="1:12" s="450" customFormat="1" ht="12.75" customHeight="1">
      <c r="A152" s="34">
        <f>MAX(A$1:A151)+1</f>
        <v>21</v>
      </c>
      <c r="B152" s="447"/>
      <c r="C152" s="195">
        <v>91030220</v>
      </c>
      <c r="D152" s="518"/>
      <c r="E152" s="38" t="s">
        <v>2334</v>
      </c>
      <c r="F152" s="568"/>
      <c r="G152" s="40" t="s">
        <v>33</v>
      </c>
      <c r="H152" s="556">
        <v>16</v>
      </c>
      <c r="J152"/>
    </row>
    <row r="153" spans="1:12" s="450" customFormat="1" ht="25.5">
      <c r="A153" s="446"/>
      <c r="B153" s="447"/>
      <c r="C153" s="452"/>
      <c r="D153" s="199">
        <v>9103022001</v>
      </c>
      <c r="E153" s="71" t="s">
        <v>2335</v>
      </c>
      <c r="F153" s="515"/>
      <c r="G153" s="62" t="s">
        <v>33</v>
      </c>
      <c r="H153" s="557">
        <v>16</v>
      </c>
      <c r="J153"/>
    </row>
    <row r="154" spans="1:12" s="450" customFormat="1" ht="15">
      <c r="A154" s="446"/>
      <c r="B154" s="447"/>
      <c r="C154" s="452"/>
      <c r="D154" s="518"/>
      <c r="E154" s="546"/>
      <c r="F154" s="568"/>
      <c r="G154" s="516"/>
      <c r="H154" s="553"/>
      <c r="J154"/>
    </row>
    <row r="155" spans="1:12" s="450" customFormat="1" ht="15">
      <c r="A155" s="34">
        <f>MAX(A$1:A154)+1</f>
        <v>22</v>
      </c>
      <c r="B155" s="447"/>
      <c r="C155" s="195">
        <v>91030221</v>
      </c>
      <c r="D155" s="518"/>
      <c r="E155" s="38" t="s">
        <v>2336</v>
      </c>
      <c r="F155" s="568"/>
      <c r="G155" s="40" t="s">
        <v>33</v>
      </c>
      <c r="H155" s="556">
        <v>21</v>
      </c>
      <c r="J155"/>
    </row>
    <row r="156" spans="1:12" s="450" customFormat="1" ht="15">
      <c r="A156" s="446"/>
      <c r="B156" s="447"/>
      <c r="C156" s="452"/>
      <c r="D156" s="199">
        <v>9103022101</v>
      </c>
      <c r="E156" s="71" t="s">
        <v>2337</v>
      </c>
      <c r="F156" s="568"/>
      <c r="G156" s="62" t="s">
        <v>33</v>
      </c>
      <c r="H156" s="557">
        <v>21</v>
      </c>
      <c r="J156"/>
    </row>
    <row r="157" spans="1:12" s="450" customFormat="1" ht="15">
      <c r="A157" s="446"/>
      <c r="B157" s="447"/>
      <c r="C157" s="452"/>
      <c r="D157" s="518"/>
      <c r="E157" s="77" t="s">
        <v>2338</v>
      </c>
      <c r="F157" s="212">
        <v>13</v>
      </c>
      <c r="G157" s="516"/>
      <c r="H157" s="553"/>
      <c r="J157"/>
    </row>
    <row r="158" spans="1:12" s="450" customFormat="1" ht="12.75" customHeight="1">
      <c r="A158" s="446"/>
      <c r="B158" s="447"/>
      <c r="C158" s="452"/>
      <c r="D158" s="518"/>
      <c r="E158" s="77" t="s">
        <v>2339</v>
      </c>
      <c r="F158" s="213">
        <v>8</v>
      </c>
      <c r="G158" s="516"/>
      <c r="H158" s="553"/>
      <c r="J158"/>
    </row>
    <row r="159" spans="1:12" s="450" customFormat="1" ht="15">
      <c r="A159" s="446"/>
      <c r="B159" s="447"/>
      <c r="C159" s="452"/>
      <c r="D159" s="518"/>
      <c r="E159" s="546"/>
      <c r="F159" s="568">
        <f>SUM(F157:F158)</f>
        <v>21</v>
      </c>
      <c r="G159" s="516"/>
      <c r="H159" s="553"/>
      <c r="J159"/>
      <c r="K159" s="950"/>
    </row>
    <row r="160" spans="1:12" s="450" customFormat="1" ht="15">
      <c r="A160" s="446"/>
      <c r="B160" s="447"/>
      <c r="C160" s="452"/>
      <c r="D160" s="518"/>
      <c r="E160" s="546"/>
      <c r="F160" s="568"/>
      <c r="G160" s="516"/>
      <c r="H160" s="553"/>
      <c r="J160"/>
    </row>
    <row r="161" spans="1:13" s="450" customFormat="1" ht="15">
      <c r="A161" s="34">
        <f>MAX(A$1:A160)+1</f>
        <v>23</v>
      </c>
      <c r="B161" s="447"/>
      <c r="C161" s="195">
        <v>91030225</v>
      </c>
      <c r="D161" s="518"/>
      <c r="E161" s="38" t="s">
        <v>2340</v>
      </c>
      <c r="F161" s="568"/>
      <c r="G161" s="40" t="s">
        <v>33</v>
      </c>
      <c r="H161" s="556">
        <v>131</v>
      </c>
      <c r="J161"/>
    </row>
    <row r="162" spans="1:13" s="450" customFormat="1" ht="12.75" customHeight="1">
      <c r="A162" s="446"/>
      <c r="B162" s="447"/>
      <c r="C162" s="452"/>
      <c r="D162" s="199">
        <v>9103022502</v>
      </c>
      <c r="E162" s="71" t="s">
        <v>2341</v>
      </c>
      <c r="F162" s="568"/>
      <c r="G162" s="62" t="s">
        <v>33</v>
      </c>
      <c r="H162" s="557">
        <v>131</v>
      </c>
      <c r="J162"/>
    </row>
    <row r="163" spans="1:13" s="450" customFormat="1" ht="15">
      <c r="A163" s="446"/>
      <c r="B163" s="447"/>
      <c r="C163" s="452"/>
      <c r="D163" s="518"/>
      <c r="E163" s="77" t="s">
        <v>2342</v>
      </c>
      <c r="F163" s="212">
        <v>5</v>
      </c>
      <c r="G163" s="516"/>
      <c r="H163" s="553"/>
      <c r="J163"/>
    </row>
    <row r="164" spans="1:13" s="450" customFormat="1" ht="15">
      <c r="A164" s="446"/>
      <c r="B164" s="447"/>
      <c r="C164" s="452"/>
      <c r="D164" s="518"/>
      <c r="E164" s="77" t="s">
        <v>2343</v>
      </c>
      <c r="F164" s="212">
        <v>48</v>
      </c>
      <c r="G164" s="516"/>
      <c r="H164" s="553"/>
      <c r="J164"/>
    </row>
    <row r="165" spans="1:13" s="450" customFormat="1" ht="15">
      <c r="A165" s="446"/>
      <c r="B165" s="447"/>
      <c r="C165" s="452"/>
      <c r="D165" s="518"/>
      <c r="E165" s="77" t="s">
        <v>2344</v>
      </c>
      <c r="F165" s="212">
        <v>19</v>
      </c>
      <c r="G165" s="516"/>
      <c r="H165" s="553"/>
      <c r="J165"/>
    </row>
    <row r="166" spans="1:13" s="450" customFormat="1" ht="12.75" customHeight="1">
      <c r="A166" s="446"/>
      <c r="B166" s="447"/>
      <c r="C166" s="452"/>
      <c r="D166" s="518"/>
      <c r="E166" s="77" t="s">
        <v>2345</v>
      </c>
      <c r="F166" s="212">
        <v>4</v>
      </c>
      <c r="G166" s="516"/>
      <c r="H166" s="553"/>
      <c r="J166"/>
    </row>
    <row r="167" spans="1:13" s="450" customFormat="1" ht="15">
      <c r="A167" s="446"/>
      <c r="B167" s="447"/>
      <c r="C167" s="452"/>
      <c r="D167" s="518"/>
      <c r="E167" s="77" t="s">
        <v>2346</v>
      </c>
      <c r="F167" s="212">
        <v>35</v>
      </c>
      <c r="G167" s="516"/>
      <c r="H167" s="553"/>
      <c r="J167"/>
    </row>
    <row r="168" spans="1:13" s="450" customFormat="1" ht="15">
      <c r="A168" s="446"/>
      <c r="B168" s="447"/>
      <c r="C168" s="452"/>
      <c r="D168" s="518"/>
      <c r="E168" s="77" t="s">
        <v>2347</v>
      </c>
      <c r="F168" s="212">
        <v>1</v>
      </c>
      <c r="G168" s="516"/>
      <c r="H168" s="553"/>
      <c r="J168"/>
    </row>
    <row r="169" spans="1:13" customFormat="1" ht="15">
      <c r="A169" s="443"/>
      <c r="B169" s="453"/>
      <c r="C169" s="198"/>
      <c r="D169" s="235"/>
      <c r="E169" s="77" t="s">
        <v>2348</v>
      </c>
      <c r="F169" s="212">
        <v>12</v>
      </c>
      <c r="G169" s="295"/>
      <c r="H169" s="569"/>
      <c r="K169" s="450"/>
      <c r="L169" s="450"/>
      <c r="M169" s="450"/>
    </row>
    <row r="170" spans="1:13" customFormat="1" ht="12.75" customHeight="1">
      <c r="A170" s="334"/>
      <c r="B170" s="453"/>
      <c r="C170" s="195"/>
      <c r="D170" s="196"/>
      <c r="E170" s="77" t="s">
        <v>2349</v>
      </c>
      <c r="F170" s="212">
        <v>3</v>
      </c>
      <c r="G170" s="286"/>
      <c r="H170" s="570"/>
      <c r="K170" s="450"/>
      <c r="L170" s="450"/>
      <c r="M170" s="450"/>
    </row>
    <row r="171" spans="1:13" customFormat="1" ht="12.75" customHeight="1">
      <c r="A171" s="443"/>
      <c r="B171" s="453"/>
      <c r="C171" s="198"/>
      <c r="D171" s="199"/>
      <c r="E171" s="77" t="s">
        <v>2350</v>
      </c>
      <c r="F171" s="213">
        <v>4</v>
      </c>
      <c r="G171" s="295"/>
      <c r="H171" s="571"/>
      <c r="K171" s="450"/>
      <c r="L171" s="450"/>
      <c r="M171" s="450"/>
    </row>
    <row r="172" spans="1:13" customFormat="1" ht="15">
      <c r="A172" s="443"/>
      <c r="B172" s="453"/>
      <c r="C172" s="198"/>
      <c r="D172" s="235"/>
      <c r="E172" s="129"/>
      <c r="F172" s="131">
        <f>SUM(F163:F171)</f>
        <v>131</v>
      </c>
      <c r="G172" s="295"/>
      <c r="H172" s="569"/>
      <c r="M172" s="950"/>
    </row>
    <row r="173" spans="1:13" customFormat="1" ht="15">
      <c r="A173" s="443"/>
      <c r="B173" s="453"/>
      <c r="C173" s="198"/>
      <c r="D173" s="235"/>
      <c r="E173" s="129"/>
      <c r="F173" s="131"/>
      <c r="G173" s="295"/>
      <c r="H173" s="569"/>
      <c r="M173" s="950"/>
    </row>
    <row r="174" spans="1:13" customFormat="1" ht="15">
      <c r="A174" s="34">
        <f>MAX(A$1:A173)+1</f>
        <v>24</v>
      </c>
      <c r="B174" s="453"/>
      <c r="C174" s="195">
        <v>91030227</v>
      </c>
      <c r="D174" s="518"/>
      <c r="E174" s="38" t="s">
        <v>2351</v>
      </c>
      <c r="F174" s="568"/>
      <c r="G174" s="40" t="s">
        <v>33</v>
      </c>
      <c r="H174" s="556">
        <v>8</v>
      </c>
      <c r="M174" s="950"/>
    </row>
    <row r="175" spans="1:13" customFormat="1" ht="15">
      <c r="A175" s="443"/>
      <c r="B175" s="453"/>
      <c r="C175" s="452"/>
      <c r="D175" s="199">
        <v>9103022702</v>
      </c>
      <c r="E175" s="71" t="s">
        <v>2352</v>
      </c>
      <c r="F175" s="568"/>
      <c r="G175" s="62" t="s">
        <v>33</v>
      </c>
      <c r="H175" s="557">
        <v>8</v>
      </c>
      <c r="M175" s="950"/>
    </row>
    <row r="176" spans="1:13" customFormat="1" ht="15">
      <c r="A176" s="443"/>
      <c r="B176" s="453"/>
      <c r="C176" s="452"/>
      <c r="D176" s="518"/>
      <c r="E176" s="77" t="s">
        <v>2353</v>
      </c>
      <c r="F176" s="212">
        <v>8</v>
      </c>
      <c r="G176" s="516"/>
      <c r="H176" s="553"/>
      <c r="M176" s="950"/>
    </row>
    <row r="177" spans="1:13" customFormat="1" ht="15">
      <c r="A177" s="443"/>
      <c r="B177" s="453"/>
      <c r="C177" s="198"/>
      <c r="D177" s="235"/>
      <c r="E177" s="129"/>
      <c r="F177" s="131"/>
      <c r="G177" s="295"/>
      <c r="H177" s="569"/>
      <c r="M177" s="950"/>
    </row>
    <row r="178" spans="1:13" customFormat="1" ht="15">
      <c r="A178" s="443"/>
      <c r="B178" s="453"/>
      <c r="C178" s="198"/>
      <c r="D178" s="235"/>
      <c r="E178" s="129"/>
      <c r="F178" s="131"/>
      <c r="G178" s="295"/>
      <c r="H178" s="569"/>
    </row>
    <row r="179" spans="1:13" customFormat="1" ht="15">
      <c r="A179" s="34">
        <f>MAX(A$1:A178)+1</f>
        <v>25</v>
      </c>
      <c r="B179" s="453"/>
      <c r="C179" s="195">
        <v>91030228</v>
      </c>
      <c r="D179" s="518"/>
      <c r="E179" s="38" t="s">
        <v>2354</v>
      </c>
      <c r="F179" s="568"/>
      <c r="G179" s="40" t="s">
        <v>33</v>
      </c>
      <c r="H179" s="556">
        <v>15</v>
      </c>
    </row>
    <row r="180" spans="1:13" customFormat="1" ht="15">
      <c r="A180" s="443"/>
      <c r="B180" s="453"/>
      <c r="C180" s="452"/>
      <c r="D180" s="199">
        <v>9103022801</v>
      </c>
      <c r="E180" s="71" t="s">
        <v>2355</v>
      </c>
      <c r="F180" s="568"/>
      <c r="G180" s="62" t="s">
        <v>33</v>
      </c>
      <c r="H180" s="557">
        <v>15</v>
      </c>
    </row>
    <row r="181" spans="1:13" customFormat="1" ht="25.5">
      <c r="A181" s="443"/>
      <c r="B181" s="453"/>
      <c r="C181" s="452"/>
      <c r="D181" s="518"/>
      <c r="E181" s="77" t="s">
        <v>2356</v>
      </c>
      <c r="F181" s="212">
        <v>7</v>
      </c>
      <c r="G181" s="516"/>
      <c r="H181" s="553"/>
    </row>
    <row r="182" spans="1:13" customFormat="1" ht="25.5">
      <c r="A182" s="443"/>
      <c r="B182" s="453"/>
      <c r="C182" s="452"/>
      <c r="D182" s="518"/>
      <c r="E182" s="77" t="s">
        <v>2357</v>
      </c>
      <c r="F182" s="213">
        <v>8</v>
      </c>
      <c r="G182" s="516"/>
      <c r="H182" s="553"/>
    </row>
    <row r="183" spans="1:13" customFormat="1" ht="15">
      <c r="A183" s="443"/>
      <c r="B183" s="453"/>
      <c r="C183" s="198"/>
      <c r="D183" s="235"/>
      <c r="E183" s="129"/>
      <c r="F183" s="131">
        <f>SUM(F181:F182)</f>
        <v>15</v>
      </c>
      <c r="G183" s="295"/>
      <c r="H183" s="569"/>
    </row>
    <row r="184" spans="1:13" customFormat="1" ht="15">
      <c r="A184" s="443"/>
      <c r="B184" s="453"/>
      <c r="C184" s="198"/>
      <c r="D184" s="235"/>
      <c r="E184" s="129"/>
      <c r="F184" s="131"/>
      <c r="G184" s="295"/>
      <c r="H184" s="569"/>
    </row>
    <row r="185" spans="1:13" customFormat="1" ht="25.5">
      <c r="A185" s="34">
        <f>MAX(A$1:A184)+1</f>
        <v>26</v>
      </c>
      <c r="B185" s="302"/>
      <c r="C185" s="195">
        <v>91280903</v>
      </c>
      <c r="D185" s="518"/>
      <c r="E185" s="38" t="s">
        <v>2358</v>
      </c>
      <c r="F185" s="568"/>
      <c r="G185" s="40" t="s">
        <v>33</v>
      </c>
      <c r="H185" s="1309">
        <v>22</v>
      </c>
    </row>
    <row r="186" spans="1:13" customFormat="1" ht="15">
      <c r="A186" s="845"/>
      <c r="B186" s="302"/>
      <c r="C186" s="452"/>
      <c r="D186" s="199"/>
      <c r="E186" s="65" t="s">
        <v>2359</v>
      </c>
      <c r="F186" s="1308">
        <v>22</v>
      </c>
      <c r="G186" s="62"/>
      <c r="H186" s="557"/>
    </row>
    <row r="187" spans="1:13" customFormat="1" ht="15">
      <c r="A187" s="845"/>
      <c r="B187" s="302"/>
      <c r="C187" s="452"/>
      <c r="D187" s="518"/>
      <c r="E187" s="77"/>
      <c r="F187" s="212"/>
      <c r="G187" s="516"/>
      <c r="H187" s="553"/>
    </row>
    <row r="188" spans="1:13" customFormat="1" ht="25.5">
      <c r="A188" s="34">
        <f>MAX(A$1:A187)+1</f>
        <v>27</v>
      </c>
      <c r="B188" s="302"/>
      <c r="C188" s="195">
        <v>91280905</v>
      </c>
      <c r="D188" s="518"/>
      <c r="E188" s="38" t="s">
        <v>2360</v>
      </c>
      <c r="F188" s="568"/>
      <c r="G188" s="40" t="s">
        <v>33</v>
      </c>
      <c r="H188" s="1309">
        <v>5</v>
      </c>
    </row>
    <row r="189" spans="1:13" customFormat="1" ht="15">
      <c r="A189" s="845"/>
      <c r="B189" s="302"/>
      <c r="C189" s="452"/>
      <c r="D189" s="199"/>
      <c r="E189" s="65" t="s">
        <v>2361</v>
      </c>
      <c r="F189" s="1308">
        <v>5</v>
      </c>
      <c r="G189" s="62"/>
      <c r="H189" s="557"/>
    </row>
    <row r="190" spans="1:13" customFormat="1" ht="15">
      <c r="A190" s="845"/>
      <c r="B190" s="302"/>
      <c r="C190" s="452"/>
      <c r="D190" s="518"/>
      <c r="E190" s="77"/>
      <c r="F190" s="212"/>
      <c r="G190" s="516"/>
      <c r="H190" s="553"/>
    </row>
    <row r="191" spans="1:13" customFormat="1" ht="25.5">
      <c r="A191" s="34">
        <f>MAX(A$1:A190)+1</f>
        <v>28</v>
      </c>
      <c r="B191" s="302"/>
      <c r="C191" s="195">
        <v>91280906</v>
      </c>
      <c r="D191" s="518"/>
      <c r="E191" s="38" t="s">
        <v>2362</v>
      </c>
      <c r="F191" s="568"/>
      <c r="G191" s="40" t="s">
        <v>33</v>
      </c>
      <c r="H191" s="1309">
        <v>2</v>
      </c>
    </row>
    <row r="192" spans="1:13" customFormat="1" ht="15">
      <c r="A192" s="845"/>
      <c r="B192" s="302"/>
      <c r="C192" s="452"/>
      <c r="D192" s="199"/>
      <c r="E192" s="65" t="s">
        <v>2363</v>
      </c>
      <c r="F192" s="1308">
        <v>2</v>
      </c>
      <c r="G192" s="62"/>
      <c r="H192" s="557"/>
    </row>
    <row r="193" spans="1:10" customFormat="1" ht="15">
      <c r="A193" s="845"/>
      <c r="B193" s="302"/>
      <c r="C193" s="452"/>
      <c r="D193" s="518"/>
      <c r="E193" s="77"/>
      <c r="F193" s="212"/>
      <c r="G193" s="516"/>
      <c r="H193" s="553"/>
    </row>
    <row r="194" spans="1:10" customFormat="1" ht="24.95" customHeight="1">
      <c r="A194" s="34">
        <f>MAX(A$1:A193)+1</f>
        <v>29</v>
      </c>
      <c r="B194" s="302"/>
      <c r="C194" s="195">
        <v>91280908</v>
      </c>
      <c r="D194" s="518"/>
      <c r="E194" s="38" t="s">
        <v>2364</v>
      </c>
      <c r="F194" s="568"/>
      <c r="G194" s="40" t="s">
        <v>33</v>
      </c>
      <c r="H194" s="1309">
        <v>29</v>
      </c>
    </row>
    <row r="195" spans="1:10" customFormat="1" ht="15">
      <c r="A195" s="845"/>
      <c r="B195" s="302"/>
      <c r="C195" s="452"/>
      <c r="D195" s="199"/>
      <c r="E195" s="65" t="s">
        <v>2365</v>
      </c>
      <c r="F195" s="1308">
        <v>29</v>
      </c>
      <c r="G195" s="62"/>
      <c r="H195" s="557"/>
    </row>
    <row r="196" spans="1:10" customFormat="1" ht="15">
      <c r="A196" s="845"/>
      <c r="B196" s="302"/>
      <c r="C196" s="452"/>
      <c r="D196" s="518"/>
      <c r="E196" s="77"/>
      <c r="F196" s="212"/>
      <c r="G196" s="516"/>
      <c r="H196" s="553"/>
    </row>
    <row r="197" spans="1:10" customFormat="1" ht="25.5">
      <c r="A197" s="34">
        <f>MAX(A$1:A196)+1</f>
        <v>30</v>
      </c>
      <c r="B197" s="302"/>
      <c r="C197" s="195">
        <v>91282401</v>
      </c>
      <c r="D197" s="518"/>
      <c r="E197" s="38" t="s">
        <v>1740</v>
      </c>
      <c r="F197" s="568"/>
      <c r="G197" s="40" t="s">
        <v>145</v>
      </c>
      <c r="H197" s="556">
        <v>274</v>
      </c>
    </row>
    <row r="198" spans="1:10" customFormat="1" ht="15">
      <c r="A198" s="845"/>
      <c r="B198" s="302"/>
      <c r="C198" s="452"/>
      <c r="D198" s="199"/>
      <c r="E198" s="65" t="s">
        <v>2366</v>
      </c>
      <c r="F198" s="212">
        <v>250</v>
      </c>
      <c r="G198" s="62" t="s">
        <v>145</v>
      </c>
      <c r="H198" s="557"/>
    </row>
    <row r="199" spans="1:10" customFormat="1" ht="25.5">
      <c r="A199" s="845"/>
      <c r="B199" s="302"/>
      <c r="C199" s="452"/>
      <c r="D199" s="235"/>
      <c r="E199" s="65" t="s">
        <v>2367</v>
      </c>
      <c r="F199" s="213">
        <v>24</v>
      </c>
      <c r="G199" s="62" t="s">
        <v>145</v>
      </c>
      <c r="H199" s="557"/>
    </row>
    <row r="200" spans="1:10" customFormat="1" ht="15">
      <c r="A200" s="845"/>
      <c r="B200" s="302"/>
      <c r="C200" s="452"/>
      <c r="D200" s="235"/>
      <c r="E200" s="65"/>
      <c r="F200" s="212">
        <f>SUM(F198:F199)</f>
        <v>274</v>
      </c>
      <c r="G200" s="62"/>
      <c r="H200" s="557"/>
    </row>
    <row r="201" spans="1:10" customFormat="1" ht="15">
      <c r="A201" s="845"/>
      <c r="B201" s="302"/>
      <c r="C201" s="452"/>
      <c r="D201" s="518"/>
      <c r="E201" s="77"/>
      <c r="F201" s="212"/>
      <c r="G201" s="516"/>
      <c r="H201" s="553"/>
    </row>
    <row r="202" spans="1:10" s="450" customFormat="1" ht="12.75" customHeight="1">
      <c r="A202" s="290"/>
      <c r="B202" s="35" t="s">
        <v>416</v>
      </c>
      <c r="C202" s="35"/>
      <c r="D202" s="94"/>
      <c r="E202" s="50" t="s">
        <v>417</v>
      </c>
      <c r="F202" s="457"/>
      <c r="G202" s="333"/>
      <c r="H202" s="558"/>
      <c r="J202"/>
    </row>
    <row r="203" spans="1:10" customFormat="1" ht="15">
      <c r="A203" s="290"/>
      <c r="B203" s="328"/>
      <c r="C203" s="331"/>
      <c r="D203" s="332"/>
      <c r="E203" s="345"/>
      <c r="F203" s="457"/>
      <c r="G203" s="333"/>
      <c r="H203" s="558"/>
    </row>
    <row r="204" spans="1:10" customFormat="1" ht="15">
      <c r="A204" s="334">
        <f>MAX(A$1:A203)+1</f>
        <v>31</v>
      </c>
      <c r="B204" s="328"/>
      <c r="C204" s="36" t="s">
        <v>611</v>
      </c>
      <c r="D204" s="37"/>
      <c r="E204" s="38" t="s">
        <v>612</v>
      </c>
      <c r="F204" s="39"/>
      <c r="G204" s="40" t="s">
        <v>18</v>
      </c>
      <c r="H204" s="559">
        <v>949.82</v>
      </c>
    </row>
    <row r="205" spans="1:10" customFormat="1" ht="15" customHeight="1">
      <c r="A205" s="290"/>
      <c r="B205" s="328"/>
      <c r="C205" s="117"/>
      <c r="D205" s="191" t="s">
        <v>2368</v>
      </c>
      <c r="E205" s="193" t="s">
        <v>2369</v>
      </c>
      <c r="F205" s="192"/>
      <c r="G205" s="32" t="s">
        <v>18</v>
      </c>
      <c r="H205" s="560">
        <v>949.82</v>
      </c>
    </row>
    <row r="206" spans="1:10" customFormat="1" ht="15" customHeight="1">
      <c r="A206" s="290"/>
      <c r="B206" s="328"/>
      <c r="C206" s="117"/>
      <c r="D206" s="37"/>
      <c r="E206" s="467" t="s">
        <v>2370</v>
      </c>
      <c r="F206" s="457">
        <v>949.82</v>
      </c>
      <c r="G206" s="40"/>
      <c r="H206" s="561"/>
    </row>
    <row r="207" spans="1:10" customFormat="1" ht="15" customHeight="1">
      <c r="A207" s="290"/>
      <c r="B207" s="328"/>
      <c r="C207" s="117"/>
      <c r="D207" s="37"/>
      <c r="E207" s="467"/>
      <c r="F207" s="454"/>
      <c r="G207" s="40"/>
      <c r="H207" s="561"/>
    </row>
    <row r="208" spans="1:10" customFormat="1" ht="15" customHeight="1">
      <c r="A208" s="334">
        <f>MAX(A$1:A207)+1</f>
        <v>32</v>
      </c>
      <c r="B208" s="328"/>
      <c r="C208" s="36" t="s">
        <v>2371</v>
      </c>
      <c r="D208" s="37"/>
      <c r="E208" s="38" t="s">
        <v>2372</v>
      </c>
      <c r="F208" s="39"/>
      <c r="G208" s="40" t="s">
        <v>21</v>
      </c>
      <c r="H208" s="559">
        <v>415.2</v>
      </c>
    </row>
    <row r="209" spans="1:9" customFormat="1" ht="15" customHeight="1">
      <c r="A209" s="290"/>
      <c r="B209" s="328"/>
      <c r="C209" s="117"/>
      <c r="D209" s="191" t="s">
        <v>2373</v>
      </c>
      <c r="E209" s="193" t="s">
        <v>2374</v>
      </c>
      <c r="F209" s="192"/>
      <c r="G209" s="32" t="s">
        <v>21</v>
      </c>
      <c r="H209" s="560">
        <v>415.2</v>
      </c>
    </row>
    <row r="210" spans="1:9" customFormat="1" ht="15" customHeight="1">
      <c r="A210" s="290"/>
      <c r="B210" s="328"/>
      <c r="C210" s="117"/>
      <c r="D210" s="37"/>
      <c r="E210" s="467" t="s">
        <v>2375</v>
      </c>
      <c r="F210" s="457">
        <v>415.2</v>
      </c>
      <c r="G210" s="40"/>
      <c r="H210" s="561"/>
    </row>
    <row r="211" spans="1:9" customFormat="1" ht="15">
      <c r="A211" s="72"/>
      <c r="B211" s="43"/>
      <c r="C211" s="195"/>
      <c r="D211" s="196"/>
      <c r="E211" s="345"/>
      <c r="F211" s="572"/>
      <c r="G211" s="286"/>
      <c r="H211" s="563"/>
    </row>
    <row r="212" spans="1:9" customFormat="1" ht="25.5">
      <c r="A212" s="72"/>
      <c r="B212" s="24" t="s">
        <v>1749</v>
      </c>
      <c r="C212" s="24"/>
      <c r="D212" s="24"/>
      <c r="E212" s="726" t="s">
        <v>1750</v>
      </c>
      <c r="F212" s="137"/>
      <c r="G212" s="286"/>
      <c r="H212" s="563"/>
    </row>
    <row r="213" spans="1:9" customFormat="1" ht="15">
      <c r="A213" s="334"/>
      <c r="B213" s="43"/>
      <c r="C213" s="195"/>
      <c r="D213" s="196"/>
      <c r="E213" s="38"/>
      <c r="F213" s="264"/>
      <c r="G213" s="286"/>
      <c r="H213" s="540"/>
    </row>
    <row r="214" spans="1:9" customFormat="1" ht="15">
      <c r="A214" s="334">
        <f>MAX(A$1:A213)+1</f>
        <v>33</v>
      </c>
      <c r="B214" s="328"/>
      <c r="C214" s="725" t="s">
        <v>1751</v>
      </c>
      <c r="D214" s="196"/>
      <c r="E214" s="251" t="s">
        <v>1752</v>
      </c>
      <c r="F214" s="264"/>
      <c r="G214" s="286" t="s">
        <v>33</v>
      </c>
      <c r="H214" s="559">
        <v>2</v>
      </c>
    </row>
    <row r="215" spans="1:9" customFormat="1" ht="12.75" customHeight="1">
      <c r="A215" s="290"/>
      <c r="B215" s="328"/>
      <c r="C215" s="344"/>
      <c r="D215" s="199" t="s">
        <v>1753</v>
      </c>
      <c r="E215" s="167" t="s">
        <v>1754</v>
      </c>
      <c r="F215" s="212"/>
      <c r="G215" s="295" t="s">
        <v>33</v>
      </c>
      <c r="H215" s="557">
        <v>2</v>
      </c>
    </row>
    <row r="216" spans="1:9" customFormat="1" ht="15">
      <c r="A216" s="290"/>
      <c r="B216" s="328"/>
      <c r="C216" s="344"/>
      <c r="D216" s="199"/>
      <c r="E216" s="467" t="s">
        <v>2376</v>
      </c>
      <c r="F216" s="212">
        <v>1</v>
      </c>
      <c r="G216" s="295"/>
      <c r="H216" s="541"/>
      <c r="I216" s="120"/>
    </row>
    <row r="217" spans="1:9" customFormat="1" ht="12.75" customHeight="1">
      <c r="A217" s="290"/>
      <c r="B217" s="328"/>
      <c r="C217" s="331"/>
      <c r="D217" s="332"/>
      <c r="E217" s="467" t="s">
        <v>2377</v>
      </c>
      <c r="F217" s="213">
        <v>1</v>
      </c>
      <c r="G217" s="523"/>
      <c r="H217" s="573"/>
    </row>
    <row r="218" spans="1:9" customFormat="1" ht="12.75" customHeight="1">
      <c r="A218" s="290"/>
      <c r="B218" s="328"/>
      <c r="C218" s="331"/>
      <c r="D218" s="332"/>
      <c r="E218" s="330"/>
      <c r="F218" s="572">
        <f>SUM(F216:F217)</f>
        <v>2</v>
      </c>
      <c r="G218" s="523"/>
      <c r="H218" s="573"/>
    </row>
    <row r="219" spans="1:9" customFormat="1" ht="24.75" customHeight="1" thickBot="1">
      <c r="A219" s="459"/>
      <c r="B219" s="460"/>
      <c r="C219" s="391"/>
      <c r="D219" s="461"/>
      <c r="E219" s="462"/>
      <c r="F219" s="524"/>
      <c r="G219" s="525"/>
      <c r="H219" s="574"/>
    </row>
    <row r="220" spans="1:9" customFormat="1" ht="24.75" customHeight="1">
      <c r="A220" s="526"/>
      <c r="B220" s="527"/>
      <c r="C220" s="344"/>
      <c r="D220" s="519"/>
      <c r="E220" s="129"/>
      <c r="F220" s="131"/>
      <c r="G220" s="326"/>
      <c r="H220" s="528"/>
    </row>
  </sheetData>
  <sheetProtection algorithmName="SHA-512" hashValue="gf1yD5zarAa8mKmvieSMLwK3xxoG7vISG/sFVE6/s7CuufdsZsuxXtc+1FhGx6a+DIzeDxulLkTH7An/Szf6Cw==" saltValue="732yAIScH3VhXkRzomI3I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588DD-6ADF-45A5-8310-9AA319E77858}">
  <sheetPr codeName="Hárok20"/>
  <dimension ref="A1:J11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2380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 ht="14.25">
      <c r="A6" s="438"/>
      <c r="B6" s="483"/>
      <c r="C6" s="36"/>
      <c r="D6" s="66"/>
      <c r="E6" s="71"/>
      <c r="F6" s="212"/>
      <c r="G6" s="366"/>
      <c r="H6" s="530"/>
    </row>
    <row r="7" spans="1:8" customFormat="1" ht="15">
      <c r="A7" s="463"/>
      <c r="B7" s="24" t="s">
        <v>11</v>
      </c>
      <c r="C7" s="25"/>
      <c r="D7" s="26"/>
      <c r="E7" s="27" t="s">
        <v>12</v>
      </c>
      <c r="F7" s="347"/>
      <c r="G7" s="348"/>
      <c r="H7" s="506"/>
    </row>
    <row r="8" spans="1:8" customFormat="1" ht="15">
      <c r="A8" s="463"/>
      <c r="B8" s="464"/>
      <c r="C8" s="348"/>
      <c r="D8" s="348"/>
      <c r="E8" s="349"/>
      <c r="F8" s="347"/>
      <c r="G8" s="348"/>
      <c r="H8" s="506"/>
    </row>
    <row r="9" spans="1:8" customFormat="1" ht="15">
      <c r="A9" s="34">
        <f>MAX(A$1:A8)+1</f>
        <v>1</v>
      </c>
      <c r="B9" s="464"/>
      <c r="C9" s="36" t="s">
        <v>228</v>
      </c>
      <c r="D9" s="37"/>
      <c r="E9" s="38" t="s">
        <v>229</v>
      </c>
      <c r="F9" s="39"/>
      <c r="G9" s="40" t="s">
        <v>18</v>
      </c>
      <c r="H9" s="507">
        <v>300.66000000000003</v>
      </c>
    </row>
    <row r="10" spans="1:8" customFormat="1" ht="15">
      <c r="A10" s="34"/>
      <c r="B10" s="464"/>
      <c r="C10" s="36"/>
      <c r="D10" s="37"/>
      <c r="E10" s="38"/>
      <c r="F10" s="46">
        <f>F39</f>
        <v>300.65800000000002</v>
      </c>
      <c r="G10" s="40"/>
      <c r="H10" s="506"/>
    </row>
    <row r="11" spans="1:8" customFormat="1" ht="15">
      <c r="A11" s="34"/>
      <c r="B11" s="464"/>
      <c r="C11" s="36"/>
      <c r="D11" s="37"/>
      <c r="E11" s="38"/>
      <c r="F11" s="46"/>
      <c r="G11" s="40"/>
      <c r="H11" s="506"/>
    </row>
    <row r="12" spans="1:8" customFormat="1" ht="15">
      <c r="A12" s="265"/>
      <c r="B12" s="237" t="s">
        <v>72</v>
      </c>
      <c r="C12" s="422"/>
      <c r="D12" s="422"/>
      <c r="E12" s="27" t="s">
        <v>73</v>
      </c>
      <c r="F12" s="311"/>
      <c r="G12" s="508"/>
      <c r="H12" s="531"/>
    </row>
    <row r="13" spans="1:8" customFormat="1" ht="15">
      <c r="A13" s="265"/>
      <c r="B13" s="237"/>
      <c r="C13" s="422"/>
      <c r="D13" s="422"/>
      <c r="E13" s="27"/>
      <c r="F13" s="308"/>
      <c r="G13" s="508"/>
      <c r="H13" s="531"/>
    </row>
    <row r="14" spans="1:8" customFormat="1" ht="15">
      <c r="A14" s="34">
        <f>MAX(A$1:A9)+1</f>
        <v>2</v>
      </c>
      <c r="B14" s="836"/>
      <c r="C14" s="953" t="s">
        <v>154</v>
      </c>
      <c r="D14" s="846"/>
      <c r="E14" s="954" t="s">
        <v>155</v>
      </c>
      <c r="F14" s="955"/>
      <c r="G14" s="847" t="s">
        <v>18</v>
      </c>
      <c r="H14" s="544">
        <v>90</v>
      </c>
    </row>
    <row r="15" spans="1:8" customFormat="1" ht="15">
      <c r="A15" s="835"/>
      <c r="B15" s="836"/>
      <c r="C15" s="834"/>
      <c r="D15" s="773" t="s">
        <v>156</v>
      </c>
      <c r="E15" s="774" t="s">
        <v>157</v>
      </c>
      <c r="F15" s="775"/>
      <c r="G15" s="776" t="s">
        <v>18</v>
      </c>
      <c r="H15" s="545">
        <v>90</v>
      </c>
    </row>
    <row r="16" spans="1:8" customFormat="1" ht="15">
      <c r="A16" s="835"/>
      <c r="B16" s="836"/>
      <c r="C16" s="834"/>
      <c r="D16" s="773"/>
      <c r="E16" s="330" t="s">
        <v>2381</v>
      </c>
      <c r="F16" s="212">
        <v>90</v>
      </c>
      <c r="G16" s="776"/>
      <c r="H16" s="535"/>
    </row>
    <row r="17" spans="1:8" customFormat="1" ht="15">
      <c r="A17" s="283"/>
      <c r="B17" s="126"/>
      <c r="C17" s="426"/>
      <c r="D17" s="126"/>
      <c r="E17" s="27"/>
      <c r="F17" s="538"/>
      <c r="G17" s="286"/>
      <c r="H17" s="539"/>
    </row>
    <row r="18" spans="1:8" customFormat="1" ht="15">
      <c r="A18" s="34">
        <f>MAX(A$1:A14)+1</f>
        <v>3</v>
      </c>
      <c r="B18" s="327"/>
      <c r="C18" s="36" t="s">
        <v>74</v>
      </c>
      <c r="D18" s="37"/>
      <c r="E18" s="38" t="s">
        <v>75</v>
      </c>
      <c r="F18" s="264"/>
      <c r="G18" s="286" t="s">
        <v>18</v>
      </c>
      <c r="H18" s="540">
        <v>10.8</v>
      </c>
    </row>
    <row r="19" spans="1:8" customFormat="1" ht="15">
      <c r="A19" s="350"/>
      <c r="B19" s="329"/>
      <c r="C19" s="66"/>
      <c r="D19" s="67" t="s">
        <v>76</v>
      </c>
      <c r="E19" s="71" t="s">
        <v>77</v>
      </c>
      <c r="F19" s="212"/>
      <c r="G19" s="295" t="s">
        <v>18</v>
      </c>
      <c r="H19" s="541">
        <v>10.8</v>
      </c>
    </row>
    <row r="20" spans="1:8" customFormat="1" ht="15">
      <c r="A20" s="350"/>
      <c r="B20" s="329"/>
      <c r="C20" s="66"/>
      <c r="D20" s="67"/>
      <c r="E20" s="330" t="s">
        <v>2382</v>
      </c>
      <c r="F20" s="212">
        <v>10.8</v>
      </c>
      <c r="G20" s="295"/>
      <c r="H20" s="541"/>
    </row>
    <row r="21" spans="1:8" customFormat="1" ht="15">
      <c r="A21" s="350"/>
      <c r="B21" s="329"/>
      <c r="C21" s="66"/>
      <c r="D21" s="67"/>
      <c r="E21" s="330"/>
      <c r="F21" s="212"/>
      <c r="G21" s="295"/>
      <c r="H21" s="541"/>
    </row>
    <row r="22" spans="1:8" customFormat="1" ht="15">
      <c r="A22" s="34">
        <f>MAX(A$1:A20)+1</f>
        <v>4</v>
      </c>
      <c r="B22" s="329"/>
      <c r="C22" s="956" t="s">
        <v>158</v>
      </c>
      <c r="D22" s="599"/>
      <c r="E22" s="496" t="s">
        <v>159</v>
      </c>
      <c r="F22" s="779"/>
      <c r="G22" s="780" t="s">
        <v>18</v>
      </c>
      <c r="H22" s="540">
        <v>851.66</v>
      </c>
    </row>
    <row r="23" spans="1:8" customFormat="1" ht="15">
      <c r="A23" s="350"/>
      <c r="B23" s="329"/>
      <c r="C23" s="957"/>
      <c r="D23" s="300" t="s">
        <v>160</v>
      </c>
      <c r="E23" s="297" t="s">
        <v>161</v>
      </c>
      <c r="F23" s="958"/>
      <c r="G23" s="959" t="s">
        <v>18</v>
      </c>
      <c r="H23" s="541">
        <v>851.66</v>
      </c>
    </row>
    <row r="24" spans="1:8" customFormat="1" ht="15">
      <c r="A24" s="350"/>
      <c r="B24" s="329"/>
      <c r="C24" s="957"/>
      <c r="D24" s="300"/>
      <c r="E24" s="330" t="s">
        <v>2383</v>
      </c>
      <c r="F24" s="212">
        <v>243.9</v>
      </c>
      <c r="G24" s="959"/>
      <c r="H24" s="542"/>
    </row>
    <row r="25" spans="1:8" customFormat="1" ht="15">
      <c r="A25" s="350"/>
      <c r="B25" s="329"/>
      <c r="C25" s="66"/>
      <c r="D25" s="67"/>
      <c r="E25" s="330" t="s">
        <v>2384</v>
      </c>
      <c r="F25" s="212">
        <v>288.98</v>
      </c>
      <c r="G25" s="295"/>
      <c r="H25" s="541"/>
    </row>
    <row r="26" spans="1:8" customFormat="1" ht="15">
      <c r="A26" s="350"/>
      <c r="B26" s="329"/>
      <c r="C26" s="66"/>
      <c r="D26" s="67"/>
      <c r="E26" s="330" t="s">
        <v>2385</v>
      </c>
      <c r="F26" s="213">
        <v>318.77999999999997</v>
      </c>
      <c r="G26" s="295"/>
      <c r="H26" s="541"/>
    </row>
    <row r="27" spans="1:8" customFormat="1" ht="15">
      <c r="A27" s="350"/>
      <c r="B27" s="329"/>
      <c r="C27" s="66"/>
      <c r="D27" s="67"/>
      <c r="E27" s="330"/>
      <c r="F27" s="212">
        <f>SUM(F24:F26)</f>
        <v>851.66</v>
      </c>
      <c r="G27" s="295"/>
      <c r="H27" s="541"/>
    </row>
    <row r="28" spans="1:8" customFormat="1" ht="51">
      <c r="A28" s="350"/>
      <c r="B28" s="329"/>
      <c r="C28" s="66"/>
      <c r="D28" s="67"/>
      <c r="E28" s="330" t="s">
        <v>2386</v>
      </c>
      <c r="F28" s="212"/>
      <c r="G28" s="295"/>
      <c r="H28" s="541"/>
    </row>
    <row r="29" spans="1:8" customFormat="1" ht="15">
      <c r="A29" s="350"/>
      <c r="B29" s="329"/>
      <c r="C29" s="66"/>
      <c r="D29" s="67"/>
      <c r="E29" s="330"/>
      <c r="F29" s="212"/>
      <c r="G29" s="295"/>
      <c r="H29" s="541"/>
    </row>
    <row r="30" spans="1:8" customFormat="1" ht="15">
      <c r="A30" s="34">
        <f>MAX(A$1:A28)+1</f>
        <v>5</v>
      </c>
      <c r="B30" s="329"/>
      <c r="C30" s="599" t="s">
        <v>162</v>
      </c>
      <c r="D30" s="599"/>
      <c r="E30" s="496" t="s">
        <v>163</v>
      </c>
      <c r="F30" s="779"/>
      <c r="G30" s="780" t="s">
        <v>18</v>
      </c>
      <c r="H30" s="540">
        <v>250.47</v>
      </c>
    </row>
    <row r="31" spans="1:8" customFormat="1" ht="15">
      <c r="A31" s="350"/>
      <c r="B31" s="329"/>
      <c r="C31" s="957"/>
      <c r="D31" s="300" t="s">
        <v>164</v>
      </c>
      <c r="E31" s="297" t="s">
        <v>165</v>
      </c>
      <c r="F31" s="958"/>
      <c r="G31" s="959" t="s">
        <v>18</v>
      </c>
      <c r="H31" s="541">
        <v>250.47</v>
      </c>
    </row>
    <row r="32" spans="1:8" customFormat="1" ht="15">
      <c r="A32" s="350"/>
      <c r="B32" s="329"/>
      <c r="C32" s="957"/>
      <c r="D32" s="300"/>
      <c r="E32" s="330" t="s">
        <v>2387</v>
      </c>
      <c r="F32" s="212">
        <v>230.37</v>
      </c>
      <c r="G32" s="959"/>
      <c r="H32" s="542"/>
    </row>
    <row r="33" spans="1:8" customFormat="1" ht="15">
      <c r="A33" s="350"/>
      <c r="B33" s="329"/>
      <c r="C33" s="66"/>
      <c r="D33" s="67"/>
      <c r="E33" s="330" t="s">
        <v>2388</v>
      </c>
      <c r="F33" s="213">
        <v>20.097000000000001</v>
      </c>
      <c r="G33" s="295"/>
      <c r="H33" s="541"/>
    </row>
    <row r="34" spans="1:8" customFormat="1" ht="15">
      <c r="A34" s="350"/>
      <c r="B34" s="329"/>
      <c r="C34" s="66"/>
      <c r="D34" s="67"/>
      <c r="E34" s="330"/>
      <c r="F34" s="212">
        <f>SUM(F32:F33)</f>
        <v>250.46700000000001</v>
      </c>
      <c r="G34" s="295"/>
      <c r="H34" s="541"/>
    </row>
    <row r="35" spans="1:8" customFormat="1" ht="51">
      <c r="A35" s="350"/>
      <c r="B35" s="329"/>
      <c r="C35" s="66"/>
      <c r="D35" s="67"/>
      <c r="E35" s="330" t="s">
        <v>2386</v>
      </c>
      <c r="F35" s="212"/>
      <c r="G35" s="295"/>
      <c r="H35" s="541"/>
    </row>
    <row r="36" spans="1:8" customFormat="1" ht="15">
      <c r="A36" s="350"/>
      <c r="B36" s="329"/>
      <c r="C36" s="66"/>
      <c r="D36" s="67"/>
      <c r="E36" s="330"/>
      <c r="F36" s="212"/>
      <c r="G36" s="295"/>
      <c r="H36" s="541"/>
    </row>
    <row r="37" spans="1:8" customFormat="1" ht="15">
      <c r="A37" s="334">
        <f>MAX(A$1:A36)+1</f>
        <v>6</v>
      </c>
      <c r="B37" s="960"/>
      <c r="C37" s="956" t="s">
        <v>58</v>
      </c>
      <c r="D37" s="599"/>
      <c r="E37" s="496" t="s">
        <v>59</v>
      </c>
      <c r="F37" s="482"/>
      <c r="G37" s="146" t="s">
        <v>18</v>
      </c>
      <c r="H37" s="543">
        <v>300.66000000000003</v>
      </c>
    </row>
    <row r="38" spans="1:8" customFormat="1" ht="15">
      <c r="A38" s="961"/>
      <c r="B38" s="962"/>
      <c r="C38" s="957"/>
      <c r="D38" s="300" t="s">
        <v>60</v>
      </c>
      <c r="E38" s="297" t="s">
        <v>61</v>
      </c>
      <c r="F38" s="301"/>
      <c r="G38" s="218" t="s">
        <v>18</v>
      </c>
      <c r="H38" s="542">
        <v>300.66000000000003</v>
      </c>
    </row>
    <row r="39" spans="1:8" customFormat="1" ht="15">
      <c r="A39" s="963"/>
      <c r="B39" s="600"/>
      <c r="C39" s="957"/>
      <c r="D39" s="300"/>
      <c r="E39" s="330" t="s">
        <v>2389</v>
      </c>
      <c r="F39" s="212">
        <f>F62</f>
        <v>300.65800000000002</v>
      </c>
      <c r="G39" s="959"/>
      <c r="H39" s="542"/>
    </row>
    <row r="40" spans="1:8" customFormat="1" ht="15">
      <c r="A40" s="350"/>
      <c r="B40" s="329"/>
      <c r="C40" s="66"/>
      <c r="D40" s="67"/>
      <c r="E40" s="330"/>
      <c r="F40" s="212"/>
      <c r="G40" s="295"/>
      <c r="H40" s="541"/>
    </row>
    <row r="41" spans="1:8">
      <c r="A41" s="334">
        <f>MAX(A$1:A40)+1</f>
        <v>7</v>
      </c>
      <c r="B41" s="335"/>
      <c r="C41" s="435" t="s">
        <v>78</v>
      </c>
      <c r="D41" s="436"/>
      <c r="E41" s="437" t="s">
        <v>79</v>
      </c>
      <c r="F41" s="547"/>
      <c r="G41" s="511" t="s">
        <v>18</v>
      </c>
      <c r="H41" s="544">
        <v>902.27</v>
      </c>
    </row>
    <row r="42" spans="1:8">
      <c r="A42" s="334"/>
      <c r="B42" s="429"/>
      <c r="C42" s="430"/>
      <c r="D42" s="431" t="s">
        <v>80</v>
      </c>
      <c r="E42" s="305" t="s">
        <v>81</v>
      </c>
      <c r="F42" s="548"/>
      <c r="G42" s="512" t="s">
        <v>18</v>
      </c>
      <c r="H42" s="545">
        <v>902.27</v>
      </c>
    </row>
    <row r="43" spans="1:8">
      <c r="A43" s="438"/>
      <c r="B43" s="429"/>
      <c r="C43" s="430"/>
      <c r="D43" s="431"/>
      <c r="E43" s="330" t="s">
        <v>2390</v>
      </c>
      <c r="F43" s="212">
        <v>175.39</v>
      </c>
      <c r="G43" s="512"/>
      <c r="H43" s="535"/>
    </row>
    <row r="44" spans="1:8">
      <c r="A44" s="438"/>
      <c r="B44" s="429"/>
      <c r="C44" s="430"/>
      <c r="D44" s="431"/>
      <c r="E44" s="330" t="s">
        <v>2391</v>
      </c>
      <c r="F44" s="212">
        <v>216.006</v>
      </c>
      <c r="G44" s="512"/>
      <c r="H44" s="535"/>
    </row>
    <row r="45" spans="1:8">
      <c r="A45" s="438"/>
      <c r="B45" s="429"/>
      <c r="C45" s="430"/>
      <c r="D45" s="431"/>
      <c r="E45" s="330" t="s">
        <v>2392</v>
      </c>
      <c r="F45" s="212">
        <v>238.28</v>
      </c>
      <c r="G45" s="512"/>
      <c r="H45" s="535"/>
    </row>
    <row r="46" spans="1:8">
      <c r="A46" s="438"/>
      <c r="B46" s="429"/>
      <c r="C46" s="430"/>
      <c r="D46" s="431"/>
      <c r="E46" s="330" t="s">
        <v>2393</v>
      </c>
      <c r="F46" s="212">
        <v>172.19800000000001</v>
      </c>
      <c r="G46" s="512"/>
      <c r="H46" s="535"/>
    </row>
    <row r="47" spans="1:8">
      <c r="A47" s="438"/>
      <c r="B47" s="429"/>
      <c r="C47" s="430"/>
      <c r="D47" s="431"/>
      <c r="E47" s="330" t="s">
        <v>2394</v>
      </c>
      <c r="F47" s="212">
        <v>10.395</v>
      </c>
      <c r="G47" s="512"/>
      <c r="H47" s="535"/>
    </row>
    <row r="48" spans="1:8">
      <c r="A48" s="438"/>
      <c r="B48" s="429"/>
      <c r="C48" s="430"/>
      <c r="D48" s="431"/>
      <c r="E48" s="330" t="s">
        <v>2381</v>
      </c>
      <c r="F48" s="213">
        <v>90</v>
      </c>
      <c r="G48" s="512"/>
      <c r="H48" s="535"/>
    </row>
    <row r="49" spans="1:8">
      <c r="A49" s="438"/>
      <c r="B49" s="429"/>
      <c r="C49" s="430"/>
      <c r="D49" s="431"/>
      <c r="E49" s="330"/>
      <c r="F49" s="212">
        <f>SUM(F43:F48)</f>
        <v>902.26899999999989</v>
      </c>
      <c r="G49" s="512"/>
      <c r="H49" s="535"/>
    </row>
    <row r="50" spans="1:8">
      <c r="A50" s="438"/>
      <c r="B50" s="429"/>
      <c r="C50" s="430"/>
      <c r="D50" s="431"/>
      <c r="E50" s="549"/>
      <c r="F50" s="547"/>
      <c r="G50" s="512"/>
      <c r="H50" s="535"/>
    </row>
    <row r="51" spans="1:8" ht="51">
      <c r="A51" s="438"/>
      <c r="B51" s="429"/>
      <c r="C51" s="430"/>
      <c r="D51" s="431"/>
      <c r="E51" s="330" t="s">
        <v>2395</v>
      </c>
      <c r="F51" s="547"/>
      <c r="G51" s="512"/>
      <c r="H51" s="535"/>
    </row>
    <row r="52" spans="1:8">
      <c r="A52" s="438"/>
      <c r="B52" s="429"/>
      <c r="C52" s="430"/>
      <c r="D52" s="431"/>
      <c r="E52" s="330"/>
      <c r="F52" s="547"/>
      <c r="G52" s="512"/>
      <c r="H52" s="535"/>
    </row>
    <row r="53" spans="1:8">
      <c r="A53" s="334">
        <f>MAX(A$1:A52)+1</f>
        <v>8</v>
      </c>
      <c r="B53" s="429"/>
      <c r="C53" s="36" t="s">
        <v>472</v>
      </c>
      <c r="D53" s="37"/>
      <c r="E53" s="38" t="s">
        <v>473</v>
      </c>
      <c r="F53" s="39"/>
      <c r="G53" s="40" t="s">
        <v>18</v>
      </c>
      <c r="H53" s="544">
        <v>280</v>
      </c>
    </row>
    <row r="54" spans="1:8">
      <c r="A54" s="438"/>
      <c r="B54" s="429"/>
      <c r="C54" s="430"/>
      <c r="D54" s="67" t="s">
        <v>474</v>
      </c>
      <c r="E54" s="71" t="s">
        <v>475</v>
      </c>
      <c r="F54" s="61"/>
      <c r="G54" s="62" t="s">
        <v>18</v>
      </c>
      <c r="H54" s="545">
        <v>280</v>
      </c>
    </row>
    <row r="55" spans="1:8">
      <c r="A55" s="438"/>
      <c r="B55" s="429"/>
      <c r="C55" s="430"/>
      <c r="D55" s="431"/>
      <c r="E55" s="330" t="s">
        <v>2396</v>
      </c>
      <c r="F55" s="547">
        <v>280</v>
      </c>
      <c r="G55" s="512"/>
      <c r="H55" s="535"/>
    </row>
    <row r="56" spans="1:8">
      <c r="A56" s="438"/>
      <c r="B56" s="429"/>
      <c r="C56" s="430"/>
      <c r="D56" s="431"/>
      <c r="E56" s="549"/>
      <c r="F56" s="547"/>
      <c r="G56" s="512"/>
      <c r="H56" s="535"/>
    </row>
    <row r="57" spans="1:8">
      <c r="A57" s="334">
        <f>MAX(A$1:A56)+1</f>
        <v>9</v>
      </c>
      <c r="B57" s="439"/>
      <c r="C57" s="36" t="s">
        <v>50</v>
      </c>
      <c r="D57" s="37"/>
      <c r="E57" s="38" t="s">
        <v>51</v>
      </c>
      <c r="F57" s="39"/>
      <c r="G57" s="40" t="s">
        <v>18</v>
      </c>
      <c r="H57" s="544">
        <v>300.66000000000003</v>
      </c>
    </row>
    <row r="58" spans="1:8" ht="25.5">
      <c r="A58" s="293"/>
      <c r="B58" s="440"/>
      <c r="C58" s="66"/>
      <c r="D58" s="67" t="s">
        <v>138</v>
      </c>
      <c r="E58" s="71" t="s">
        <v>139</v>
      </c>
      <c r="F58" s="61"/>
      <c r="G58" s="62" t="s">
        <v>18</v>
      </c>
      <c r="H58" s="545">
        <v>300.66000000000003</v>
      </c>
    </row>
    <row r="59" spans="1:8">
      <c r="A59" s="334"/>
      <c r="B59" s="440"/>
      <c r="C59" s="430"/>
      <c r="D59" s="431"/>
      <c r="E59" s="964" t="s">
        <v>2397</v>
      </c>
      <c r="F59" s="212"/>
      <c r="G59" s="512"/>
      <c r="H59" s="544"/>
    </row>
    <row r="60" spans="1:8">
      <c r="A60" s="334"/>
      <c r="B60" s="440"/>
      <c r="C60" s="430"/>
      <c r="D60" s="431"/>
      <c r="E60" s="549" t="s">
        <v>66</v>
      </c>
      <c r="F60" s="212">
        <f>F16+F20+F27+F34</f>
        <v>1202.9269999999999</v>
      </c>
      <c r="G60" s="512"/>
      <c r="H60" s="544"/>
    </row>
    <row r="61" spans="1:8">
      <c r="A61" s="334"/>
      <c r="B61" s="440"/>
      <c r="C61" s="430"/>
      <c r="D61" s="431"/>
      <c r="E61" s="549" t="s">
        <v>82</v>
      </c>
      <c r="F61" s="213">
        <f>-F49</f>
        <v>-902.26899999999989</v>
      </c>
      <c r="G61" s="512"/>
      <c r="H61" s="544"/>
    </row>
    <row r="62" spans="1:8">
      <c r="A62" s="334"/>
      <c r="B62" s="440"/>
      <c r="C62" s="430"/>
      <c r="D62" s="431"/>
      <c r="E62" s="549"/>
      <c r="F62" s="212">
        <f>SUM(F60:F61)</f>
        <v>300.65800000000002</v>
      </c>
      <c r="G62" s="512"/>
      <c r="H62" s="544"/>
    </row>
    <row r="63" spans="1:8">
      <c r="A63" s="334"/>
      <c r="B63" s="440"/>
      <c r="C63" s="430"/>
      <c r="D63" s="431"/>
      <c r="E63" s="549"/>
      <c r="F63" s="212"/>
      <c r="G63" s="512"/>
      <c r="H63" s="544"/>
    </row>
    <row r="64" spans="1:8" ht="25.5">
      <c r="A64" s="334">
        <f>MAX(A$1:A62)+1</f>
        <v>10</v>
      </c>
      <c r="B64" s="440"/>
      <c r="C64" s="36" t="s">
        <v>185</v>
      </c>
      <c r="D64" s="37"/>
      <c r="E64" s="38" t="s">
        <v>186</v>
      </c>
      <c r="F64" s="39"/>
      <c r="G64" s="40" t="s">
        <v>21</v>
      </c>
      <c r="H64" s="544">
        <v>162</v>
      </c>
    </row>
    <row r="65" spans="1:9" ht="25.5">
      <c r="A65" s="334"/>
      <c r="B65" s="440"/>
      <c r="C65" s="66"/>
      <c r="D65" s="67" t="s">
        <v>187</v>
      </c>
      <c r="E65" s="71" t="s">
        <v>188</v>
      </c>
      <c r="F65" s="61"/>
      <c r="G65" s="62" t="s">
        <v>21</v>
      </c>
      <c r="H65" s="545">
        <v>162</v>
      </c>
    </row>
    <row r="66" spans="1:9">
      <c r="A66" s="334"/>
      <c r="B66" s="440"/>
      <c r="C66" s="66"/>
      <c r="D66" s="67"/>
      <c r="E66" s="65" t="s">
        <v>2398</v>
      </c>
      <c r="F66" s="46">
        <f>(2.5+2)*2*1.5*12</f>
        <v>162</v>
      </c>
      <c r="G66" s="62"/>
      <c r="H66" s="544"/>
    </row>
    <row r="67" spans="1:9">
      <c r="A67" s="334"/>
      <c r="B67" s="440"/>
      <c r="C67" s="430"/>
      <c r="D67" s="431"/>
      <c r="E67" s="549"/>
      <c r="F67" s="547"/>
      <c r="G67" s="512"/>
      <c r="H67" s="544"/>
    </row>
    <row r="68" spans="1:9">
      <c r="A68" s="34">
        <f>MAX(A$1:A67)+1</f>
        <v>11</v>
      </c>
      <c r="B68" s="836"/>
      <c r="C68" s="953" t="s">
        <v>484</v>
      </c>
      <c r="D68" s="846"/>
      <c r="E68" s="954" t="s">
        <v>485</v>
      </c>
      <c r="F68" s="775"/>
      <c r="G68" s="847" t="s">
        <v>36</v>
      </c>
      <c r="H68" s="544">
        <v>584</v>
      </c>
    </row>
    <row r="69" spans="1:9" ht="25.5">
      <c r="A69" s="835"/>
      <c r="B69" s="836"/>
      <c r="C69" s="834"/>
      <c r="D69" s="773" t="s">
        <v>486</v>
      </c>
      <c r="E69" s="774" t="s">
        <v>487</v>
      </c>
      <c r="F69" s="775"/>
      <c r="G69" s="776" t="s">
        <v>36</v>
      </c>
      <c r="H69" s="545">
        <v>584</v>
      </c>
    </row>
    <row r="70" spans="1:9">
      <c r="A70" s="835"/>
      <c r="B70" s="836"/>
      <c r="C70" s="834"/>
      <c r="D70" s="773"/>
      <c r="E70" s="330" t="s">
        <v>729</v>
      </c>
      <c r="F70" s="212">
        <v>444</v>
      </c>
      <c r="G70" s="776"/>
      <c r="H70" s="535"/>
    </row>
    <row r="71" spans="1:9">
      <c r="A71" s="334"/>
      <c r="B71" s="440"/>
      <c r="C71" s="430"/>
      <c r="D71" s="431"/>
      <c r="E71" s="330" t="s">
        <v>708</v>
      </c>
      <c r="F71" s="848">
        <v>140</v>
      </c>
      <c r="G71" s="512"/>
      <c r="H71" s="544"/>
    </row>
    <row r="72" spans="1:9">
      <c r="A72" s="334"/>
      <c r="B72" s="440"/>
      <c r="C72" s="430"/>
      <c r="D72" s="431"/>
      <c r="E72" s="549"/>
      <c r="F72" s="547">
        <f>SUM(F70:F71)</f>
        <v>584</v>
      </c>
      <c r="G72" s="512"/>
      <c r="H72" s="544"/>
    </row>
    <row r="73" spans="1:9">
      <c r="A73" s="334"/>
      <c r="B73" s="440"/>
      <c r="C73" s="430"/>
      <c r="D73" s="431"/>
      <c r="E73" s="549"/>
      <c r="F73" s="547"/>
      <c r="G73" s="512"/>
      <c r="H73" s="544"/>
    </row>
    <row r="74" spans="1:9" s="98" customFormat="1" ht="15">
      <c r="A74" s="95"/>
      <c r="B74" s="35" t="s">
        <v>501</v>
      </c>
      <c r="C74" s="35"/>
      <c r="D74" s="94"/>
      <c r="E74" s="211" t="s">
        <v>502</v>
      </c>
      <c r="F74" s="100"/>
      <c r="G74" s="97"/>
      <c r="H74" s="554"/>
      <c r="I74"/>
    </row>
    <row r="75" spans="1:9" s="98" customFormat="1" ht="15">
      <c r="A75" s="269"/>
      <c r="B75" s="270"/>
      <c r="C75" s="35"/>
      <c r="D75" s="485"/>
      <c r="E75" s="211"/>
      <c r="F75" s="100"/>
      <c r="G75" s="97"/>
      <c r="H75" s="554"/>
      <c r="I75"/>
    </row>
    <row r="76" spans="1:9" s="98" customFormat="1" ht="25.5">
      <c r="A76" s="34">
        <f>MAX(A$1:A75)+1</f>
        <v>12</v>
      </c>
      <c r="B76" s="836"/>
      <c r="C76" s="846" t="s">
        <v>503</v>
      </c>
      <c r="D76" s="846"/>
      <c r="E76" s="965" t="s">
        <v>504</v>
      </c>
      <c r="F76" s="775"/>
      <c r="G76" s="847" t="s">
        <v>36</v>
      </c>
      <c r="H76" s="966">
        <v>14287</v>
      </c>
      <c r="I76"/>
    </row>
    <row r="77" spans="1:9" s="98" customFormat="1" ht="25.5">
      <c r="A77" s="835"/>
      <c r="B77" s="836"/>
      <c r="C77" s="834"/>
      <c r="D77" s="773" t="s">
        <v>515</v>
      </c>
      <c r="E77" s="967" t="s">
        <v>516</v>
      </c>
      <c r="F77" s="775"/>
      <c r="G77" s="776" t="s">
        <v>36</v>
      </c>
      <c r="H77" s="968">
        <v>1640</v>
      </c>
      <c r="I77"/>
    </row>
    <row r="78" spans="1:9" s="98" customFormat="1" ht="15">
      <c r="A78" s="334"/>
      <c r="B78" s="440"/>
      <c r="C78" s="430"/>
      <c r="D78" s="431"/>
      <c r="E78" s="330" t="s">
        <v>729</v>
      </c>
      <c r="F78" s="547">
        <v>132</v>
      </c>
      <c r="G78" s="512"/>
      <c r="H78" s="966"/>
      <c r="I78"/>
    </row>
    <row r="79" spans="1:9" s="98" customFormat="1" ht="15">
      <c r="A79" s="334"/>
      <c r="B79" s="440"/>
      <c r="C79" s="430"/>
      <c r="D79" s="431"/>
      <c r="E79" s="330" t="s">
        <v>2399</v>
      </c>
      <c r="F79" s="547">
        <v>848</v>
      </c>
      <c r="G79" s="512"/>
      <c r="H79" s="966"/>
      <c r="I79"/>
    </row>
    <row r="80" spans="1:9" s="98" customFormat="1" ht="15">
      <c r="A80" s="334"/>
      <c r="B80" s="440"/>
      <c r="C80" s="430"/>
      <c r="D80" s="431"/>
      <c r="E80" s="330" t="s">
        <v>2400</v>
      </c>
      <c r="F80" s="848">
        <v>660</v>
      </c>
      <c r="G80" s="512"/>
      <c r="H80" s="966"/>
      <c r="I80"/>
    </row>
    <row r="81" spans="1:10" s="98" customFormat="1" ht="15">
      <c r="A81" s="334"/>
      <c r="B81" s="440"/>
      <c r="C81" s="430"/>
      <c r="D81" s="431"/>
      <c r="E81" s="330"/>
      <c r="F81" s="547">
        <f>SUM(F78:F80)</f>
        <v>1640</v>
      </c>
      <c r="G81" s="512"/>
      <c r="H81" s="966"/>
      <c r="I81"/>
    </row>
    <row r="82" spans="1:10" s="98" customFormat="1" ht="25.5">
      <c r="A82" s="334"/>
      <c r="B82" s="194"/>
      <c r="C82" s="195"/>
      <c r="D82" s="773" t="s">
        <v>2401</v>
      </c>
      <c r="E82" s="967" t="s">
        <v>2402</v>
      </c>
      <c r="F82" s="775"/>
      <c r="G82" s="776" t="s">
        <v>36</v>
      </c>
      <c r="H82" s="968">
        <v>12647</v>
      </c>
      <c r="I82"/>
    </row>
    <row r="83" spans="1:10" s="98" customFormat="1" ht="15">
      <c r="A83" s="334"/>
      <c r="B83" s="197"/>
      <c r="C83" s="198"/>
      <c r="D83" s="431"/>
      <c r="E83" s="330" t="s">
        <v>2403</v>
      </c>
      <c r="F83" s="547">
        <v>9487</v>
      </c>
      <c r="G83" s="512"/>
      <c r="H83" s="544"/>
      <c r="I83"/>
    </row>
    <row r="84" spans="1:10" s="98" customFormat="1" ht="15">
      <c r="A84" s="334"/>
      <c r="B84" s="197"/>
      <c r="C84" s="198"/>
      <c r="D84" s="199"/>
      <c r="E84" s="77" t="s">
        <v>2404</v>
      </c>
      <c r="F84" s="848">
        <v>3160</v>
      </c>
      <c r="G84" s="62"/>
      <c r="H84" s="557"/>
      <c r="I84"/>
    </row>
    <row r="85" spans="1:10" s="98" customFormat="1" ht="15">
      <c r="A85" s="334"/>
      <c r="B85" s="194"/>
      <c r="C85" s="195"/>
      <c r="D85" s="196"/>
      <c r="E85" s="38"/>
      <c r="F85" s="547">
        <f>SUM(F83:F84)</f>
        <v>12647</v>
      </c>
      <c r="G85" s="286"/>
      <c r="H85" s="532"/>
      <c r="I85"/>
    </row>
    <row r="86" spans="1:10" s="98" customFormat="1" ht="15">
      <c r="A86" s="845"/>
      <c r="B86" s="302"/>
      <c r="C86" s="452"/>
      <c r="D86" s="518"/>
      <c r="E86" s="77"/>
      <c r="F86" s="212"/>
      <c r="G86" s="516"/>
      <c r="H86" s="553"/>
      <c r="I86"/>
    </row>
    <row r="87" spans="1:10" s="98" customFormat="1" ht="25.5">
      <c r="A87" s="34">
        <f>MAX(A$1:A85)+1</f>
        <v>13</v>
      </c>
      <c r="B87" s="302"/>
      <c r="C87" s="195">
        <v>91282401</v>
      </c>
      <c r="D87" s="518"/>
      <c r="E87" s="38" t="s">
        <v>1740</v>
      </c>
      <c r="F87" s="568"/>
      <c r="G87" s="40" t="s">
        <v>145</v>
      </c>
      <c r="H87" s="556">
        <v>80</v>
      </c>
      <c r="I87"/>
    </row>
    <row r="88" spans="1:10" s="98" customFormat="1" ht="15">
      <c r="A88" s="845"/>
      <c r="B88" s="302"/>
      <c r="C88" s="452"/>
      <c r="D88" s="199"/>
      <c r="E88" s="65" t="s">
        <v>1741</v>
      </c>
      <c r="F88" s="212">
        <v>80</v>
      </c>
      <c r="G88" s="62" t="s">
        <v>145</v>
      </c>
      <c r="H88" s="557">
        <v>80</v>
      </c>
      <c r="I88"/>
    </row>
    <row r="89" spans="1:10" s="98" customFormat="1" ht="15">
      <c r="A89" s="269"/>
      <c r="B89" s="270"/>
      <c r="C89" s="35"/>
      <c r="D89" s="485"/>
      <c r="E89" s="211"/>
      <c r="F89" s="100"/>
      <c r="G89" s="97"/>
      <c r="H89" s="554"/>
      <c r="I89"/>
    </row>
    <row r="90" spans="1:10" customFormat="1" ht="25.5">
      <c r="A90" s="34">
        <f>MAX(A$1:A89)+1</f>
        <v>14</v>
      </c>
      <c r="B90" s="327"/>
      <c r="C90" s="37" t="s">
        <v>1837</v>
      </c>
      <c r="D90" s="37"/>
      <c r="E90" s="38" t="s">
        <v>1838</v>
      </c>
      <c r="F90" s="123"/>
      <c r="G90" s="40" t="s">
        <v>36</v>
      </c>
      <c r="H90" s="556">
        <v>16800</v>
      </c>
    </row>
    <row r="91" spans="1:10" customFormat="1" ht="15">
      <c r="A91" s="72"/>
      <c r="B91" s="329"/>
      <c r="C91" s="66"/>
      <c r="D91" s="66"/>
      <c r="E91" s="71" t="s">
        <v>1839</v>
      </c>
      <c r="F91" s="224">
        <v>16800</v>
      </c>
      <c r="G91" s="62"/>
      <c r="H91" s="557"/>
    </row>
    <row r="92" spans="1:10" customFormat="1" ht="15">
      <c r="A92" s="72"/>
      <c r="B92" s="329"/>
      <c r="C92" s="66"/>
      <c r="D92" s="67"/>
      <c r="E92" s="77"/>
      <c r="F92" s="46"/>
      <c r="G92" s="62"/>
      <c r="H92" s="557"/>
    </row>
    <row r="93" spans="1:10" customFormat="1" ht="38.25">
      <c r="A93" s="34">
        <f>MAX(A$1:A92)+1</f>
        <v>15</v>
      </c>
      <c r="B93" s="327"/>
      <c r="C93" s="37" t="s">
        <v>2405</v>
      </c>
      <c r="D93" s="37"/>
      <c r="E93" s="38" t="s">
        <v>2406</v>
      </c>
      <c r="F93" s="123"/>
      <c r="G93" s="40" t="s">
        <v>33</v>
      </c>
      <c r="H93" s="556">
        <v>16</v>
      </c>
    </row>
    <row r="94" spans="1:10" customFormat="1" ht="15">
      <c r="A94" s="72"/>
      <c r="B94" s="329"/>
      <c r="C94" s="66"/>
      <c r="D94" s="66"/>
      <c r="E94" s="71" t="s">
        <v>2407</v>
      </c>
      <c r="F94" s="212">
        <v>16</v>
      </c>
      <c r="G94" s="62"/>
      <c r="H94" s="557"/>
    </row>
    <row r="95" spans="1:10" customFormat="1" ht="15">
      <c r="A95" s="290"/>
      <c r="B95" s="328"/>
      <c r="C95" s="331"/>
      <c r="D95" s="332"/>
      <c r="E95" s="77"/>
      <c r="F95" s="457"/>
      <c r="G95" s="333"/>
      <c r="H95" s="558"/>
      <c r="J95" s="120"/>
    </row>
    <row r="96" spans="1:10" customFormat="1" ht="38.25">
      <c r="A96" s="34">
        <f>MAX(A$1:A95)+1</f>
        <v>16</v>
      </c>
      <c r="B96" s="327"/>
      <c r="C96" s="37" t="s">
        <v>1840</v>
      </c>
      <c r="D96" s="37"/>
      <c r="E96" s="38" t="s">
        <v>1841</v>
      </c>
      <c r="F96" s="123"/>
      <c r="G96" s="40" t="s">
        <v>33</v>
      </c>
      <c r="H96" s="556">
        <v>40</v>
      </c>
    </row>
    <row r="97" spans="1:9" customFormat="1" ht="15">
      <c r="A97" s="72"/>
      <c r="B97" s="329"/>
      <c r="C97" s="66"/>
      <c r="D97" s="66"/>
      <c r="E97" s="71" t="s">
        <v>1842</v>
      </c>
      <c r="F97" s="212">
        <v>40</v>
      </c>
      <c r="G97" s="62"/>
      <c r="H97" s="557"/>
    </row>
    <row r="98" spans="1:9" customFormat="1" ht="15">
      <c r="A98" s="290"/>
      <c r="B98" s="328"/>
      <c r="C98" s="117"/>
      <c r="D98" s="37"/>
      <c r="E98" s="77"/>
      <c r="F98" s="457"/>
      <c r="G98" s="40"/>
      <c r="H98" s="561"/>
    </row>
    <row r="99" spans="1:9" customFormat="1" ht="25.5">
      <c r="A99" s="34">
        <f>MAX(A$1:A98)+1</f>
        <v>17</v>
      </c>
      <c r="B99" s="327"/>
      <c r="C99" s="37" t="s">
        <v>1843</v>
      </c>
      <c r="D99" s="37"/>
      <c r="E99" s="38" t="s">
        <v>1844</v>
      </c>
      <c r="F99" s="123"/>
      <c r="G99" s="40" t="s">
        <v>33</v>
      </c>
      <c r="H99" s="556">
        <v>50</v>
      </c>
    </row>
    <row r="100" spans="1:9" customFormat="1" ht="15">
      <c r="A100" s="72"/>
      <c r="B100" s="329"/>
      <c r="C100" s="66"/>
      <c r="D100" s="66"/>
      <c r="E100" s="71" t="s">
        <v>1845</v>
      </c>
      <c r="F100" s="212">
        <v>50</v>
      </c>
      <c r="G100" s="62"/>
      <c r="H100" s="557"/>
    </row>
    <row r="101" spans="1:9" s="98" customFormat="1" ht="15">
      <c r="A101" s="95"/>
      <c r="B101" s="35"/>
      <c r="C101" s="35"/>
      <c r="D101" s="94"/>
      <c r="E101" s="77"/>
      <c r="F101" s="457"/>
      <c r="G101" s="514"/>
      <c r="H101" s="563"/>
      <c r="I101"/>
    </row>
    <row r="102" spans="1:9" customFormat="1" ht="25.5">
      <c r="A102" s="34">
        <f>MAX(A$1:A101)+1</f>
        <v>18</v>
      </c>
      <c r="B102" s="327"/>
      <c r="C102" s="37" t="s">
        <v>2408</v>
      </c>
      <c r="D102" s="37"/>
      <c r="E102" s="38" t="s">
        <v>2409</v>
      </c>
      <c r="F102" s="123"/>
      <c r="G102" s="40" t="s">
        <v>33</v>
      </c>
      <c r="H102" s="556">
        <v>3</v>
      </c>
    </row>
    <row r="103" spans="1:9" customFormat="1" ht="15">
      <c r="A103" s="72"/>
      <c r="B103" s="329"/>
      <c r="C103" s="66"/>
      <c r="D103" s="66"/>
      <c r="E103" s="71" t="s">
        <v>2410</v>
      </c>
      <c r="F103" s="212">
        <v>3</v>
      </c>
      <c r="G103" s="62"/>
      <c r="H103" s="557"/>
    </row>
    <row r="104" spans="1:9" customFormat="1" ht="15">
      <c r="A104" s="72"/>
      <c r="B104" s="197"/>
      <c r="C104" s="198"/>
      <c r="D104" s="199"/>
      <c r="E104" s="71"/>
      <c r="F104" s="457"/>
      <c r="G104" s="295"/>
      <c r="H104" s="535"/>
    </row>
    <row r="105" spans="1:9" customFormat="1" ht="25.5">
      <c r="A105" s="34">
        <f>MAX(A$1:A104)+1</f>
        <v>19</v>
      </c>
      <c r="B105" s="327"/>
      <c r="C105" s="37" t="s">
        <v>2411</v>
      </c>
      <c r="D105" s="37"/>
      <c r="E105" s="38" t="s">
        <v>2412</v>
      </c>
      <c r="F105" s="123"/>
      <c r="G105" s="40" t="s">
        <v>33</v>
      </c>
      <c r="H105" s="556">
        <v>3</v>
      </c>
    </row>
    <row r="106" spans="1:9" customFormat="1" ht="15">
      <c r="A106" s="72"/>
      <c r="B106" s="329"/>
      <c r="C106" s="66"/>
      <c r="D106" s="66"/>
      <c r="E106" s="71" t="s">
        <v>2413</v>
      </c>
      <c r="F106" s="212">
        <v>3</v>
      </c>
      <c r="G106" s="62"/>
      <c r="H106" s="557"/>
    </row>
    <row r="107" spans="1:9" customFormat="1" ht="15">
      <c r="A107" s="334"/>
      <c r="B107" s="194"/>
      <c r="C107" s="195"/>
      <c r="D107" s="196"/>
      <c r="E107" s="77"/>
      <c r="F107" s="454"/>
      <c r="G107" s="286"/>
      <c r="H107" s="532"/>
    </row>
    <row r="108" spans="1:9" s="450" customFormat="1">
      <c r="A108" s="290"/>
      <c r="B108" s="35" t="s">
        <v>416</v>
      </c>
      <c r="C108" s="35"/>
      <c r="D108" s="94"/>
      <c r="E108" s="50" t="s">
        <v>417</v>
      </c>
      <c r="F108" s="457"/>
      <c r="G108" s="333"/>
      <c r="H108" s="558"/>
    </row>
    <row r="109" spans="1:9" customFormat="1" ht="15">
      <c r="A109" s="290"/>
      <c r="B109" s="328"/>
      <c r="C109" s="331"/>
      <c r="D109" s="332"/>
      <c r="E109" s="345"/>
      <c r="F109" s="457"/>
      <c r="G109" s="333"/>
      <c r="H109" s="558"/>
    </row>
    <row r="110" spans="1:9" customFormat="1" ht="15">
      <c r="A110" s="334">
        <f>MAX(A$1:A109)+1</f>
        <v>20</v>
      </c>
      <c r="B110" s="328"/>
      <c r="C110" s="36" t="s">
        <v>418</v>
      </c>
      <c r="D110" s="37"/>
      <c r="E110" s="38" t="s">
        <v>419</v>
      </c>
      <c r="F110" s="39"/>
      <c r="G110" s="40" t="s">
        <v>18</v>
      </c>
      <c r="H110" s="559">
        <v>5.4</v>
      </c>
    </row>
    <row r="111" spans="1:9" customFormat="1" ht="15">
      <c r="A111" s="290"/>
      <c r="B111" s="328"/>
      <c r="C111" s="117"/>
      <c r="D111" s="191" t="s">
        <v>709</v>
      </c>
      <c r="E111" s="193" t="s">
        <v>710</v>
      </c>
      <c r="F111" s="192"/>
      <c r="G111" s="32" t="s">
        <v>18</v>
      </c>
      <c r="H111" s="560">
        <v>5.4</v>
      </c>
    </row>
    <row r="112" spans="1:9" customFormat="1" ht="15">
      <c r="A112" s="290"/>
      <c r="B112" s="328"/>
      <c r="C112" s="117"/>
      <c r="D112" s="37"/>
      <c r="E112" s="467" t="s">
        <v>2414</v>
      </c>
      <c r="F112" s="457">
        <v>5.4</v>
      </c>
      <c r="G112" s="40"/>
      <c r="H112" s="561"/>
    </row>
    <row r="113" spans="1:8" customFormat="1" ht="15">
      <c r="A113" s="290"/>
      <c r="B113" s="352"/>
      <c r="C113" s="36"/>
      <c r="D113" s="248"/>
      <c r="E113" s="467"/>
      <c r="F113" s="454"/>
      <c r="G113" s="40"/>
      <c r="H113" s="585"/>
    </row>
    <row r="114" spans="1:8" customFormat="1" ht="25.5">
      <c r="A114" s="334">
        <f>MAX(A$1:A113)+1</f>
        <v>21</v>
      </c>
      <c r="B114" s="352"/>
      <c r="C114" s="36" t="s">
        <v>546</v>
      </c>
      <c r="D114" s="37"/>
      <c r="E114" s="38" t="s">
        <v>547</v>
      </c>
      <c r="F114" s="39"/>
      <c r="G114" s="40" t="s">
        <v>18</v>
      </c>
      <c r="H114" s="559">
        <v>6.36</v>
      </c>
    </row>
    <row r="115" spans="1:8" customFormat="1" ht="25.5">
      <c r="A115" s="290"/>
      <c r="B115" s="352"/>
      <c r="C115" s="36"/>
      <c r="D115" s="191" t="s">
        <v>548</v>
      </c>
      <c r="E115" s="193" t="s">
        <v>2415</v>
      </c>
      <c r="F115" s="192"/>
      <c r="G115" s="32" t="s">
        <v>18</v>
      </c>
      <c r="H115" s="560">
        <v>6.36</v>
      </c>
    </row>
    <row r="116" spans="1:8" customFormat="1" ht="15">
      <c r="A116" s="290"/>
      <c r="B116" s="352"/>
      <c r="C116" s="36"/>
      <c r="D116" s="248"/>
      <c r="E116" s="467" t="s">
        <v>2416</v>
      </c>
      <c r="F116" s="457">
        <v>6.3570000000000002</v>
      </c>
      <c r="G116" s="40"/>
      <c r="H116" s="585"/>
    </row>
    <row r="117" spans="1:8" customFormat="1" ht="15">
      <c r="A117" s="290"/>
      <c r="B117" s="352"/>
      <c r="C117" s="36"/>
      <c r="D117" s="248"/>
      <c r="E117" s="467" t="s">
        <v>2417</v>
      </c>
      <c r="F117" s="454"/>
      <c r="G117" s="40"/>
      <c r="H117" s="585"/>
    </row>
    <row r="118" spans="1:8" customFormat="1" ht="15.75" thickBot="1">
      <c r="A118" s="459"/>
      <c r="B118" s="460"/>
      <c r="C118" s="391"/>
      <c r="D118" s="461"/>
      <c r="E118" s="462"/>
      <c r="F118" s="524"/>
      <c r="G118" s="525"/>
      <c r="H118" s="574"/>
    </row>
    <row r="119" spans="1:8" customFormat="1" ht="15">
      <c r="A119" s="526"/>
      <c r="B119" s="527"/>
      <c r="C119" s="344"/>
      <c r="D119" s="519"/>
      <c r="E119" s="129"/>
      <c r="F119" s="131"/>
      <c r="G119" s="326"/>
      <c r="H119" s="528"/>
    </row>
  </sheetData>
  <sheetProtection algorithmName="SHA-512" hashValue="I89aGILLe7Iy0RW2FDPKC804WKzvzRFVj6exb8vxTfHCLi1nDJvljPPtix9KJWmAYAkUC7MaEHRehOUHKWcj/w==" saltValue="uQwD8MV3V3x9F8BwGCPCO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2C6D5-323C-4B64-8058-F770A63599D3}">
  <sheetPr codeName="Hárok21"/>
  <dimension ref="A1:I3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987" customWidth="1"/>
    <col min="6" max="6" width="9.85546875" style="498" customWidth="1"/>
    <col min="7" max="7" width="5.7109375" style="501" customWidth="1"/>
    <col min="8" max="8" width="10.140625" style="500" customWidth="1"/>
    <col min="9" max="246" width="9.140625" style="410"/>
    <col min="247" max="247" width="4.7109375" style="410" customWidth="1"/>
    <col min="248" max="248" width="9.28515625" style="410" customWidth="1"/>
    <col min="249" max="249" width="9" style="410" customWidth="1"/>
    <col min="250" max="250" width="10.85546875" style="410" customWidth="1"/>
    <col min="251" max="251" width="52.7109375" style="410" customWidth="1"/>
    <col min="252" max="252" width="9.85546875" style="410" customWidth="1"/>
    <col min="253" max="253" width="5.7109375" style="410" customWidth="1"/>
    <col min="254" max="254" width="10.140625" style="410" customWidth="1"/>
    <col min="255" max="256" width="10.7109375" style="410" customWidth="1"/>
    <col min="257" max="257" width="10.5703125" style="410" customWidth="1"/>
    <col min="258" max="502" width="9.140625" style="410"/>
    <col min="503" max="503" width="4.7109375" style="410" customWidth="1"/>
    <col min="504" max="504" width="9.28515625" style="410" customWidth="1"/>
    <col min="505" max="505" width="9" style="410" customWidth="1"/>
    <col min="506" max="506" width="10.85546875" style="410" customWidth="1"/>
    <col min="507" max="507" width="52.7109375" style="410" customWidth="1"/>
    <col min="508" max="508" width="9.85546875" style="410" customWidth="1"/>
    <col min="509" max="509" width="5.7109375" style="410" customWidth="1"/>
    <col min="510" max="510" width="10.140625" style="410" customWidth="1"/>
    <col min="511" max="512" width="10.7109375" style="410" customWidth="1"/>
    <col min="513" max="513" width="10.5703125" style="410" customWidth="1"/>
    <col min="514" max="758" width="9.140625" style="410"/>
    <col min="759" max="759" width="4.7109375" style="410" customWidth="1"/>
    <col min="760" max="760" width="9.28515625" style="410" customWidth="1"/>
    <col min="761" max="761" width="9" style="410" customWidth="1"/>
    <col min="762" max="762" width="10.85546875" style="410" customWidth="1"/>
    <col min="763" max="763" width="52.7109375" style="410" customWidth="1"/>
    <col min="764" max="764" width="9.85546875" style="410" customWidth="1"/>
    <col min="765" max="765" width="5.7109375" style="410" customWidth="1"/>
    <col min="766" max="766" width="10.140625" style="410" customWidth="1"/>
    <col min="767" max="768" width="10.7109375" style="410" customWidth="1"/>
    <col min="769" max="769" width="10.5703125" style="410" customWidth="1"/>
    <col min="770" max="1014" width="9.140625" style="410"/>
    <col min="1015" max="1015" width="4.7109375" style="410" customWidth="1"/>
    <col min="1016" max="1016" width="9.28515625" style="410" customWidth="1"/>
    <col min="1017" max="1017" width="9" style="410" customWidth="1"/>
    <col min="1018" max="1018" width="10.85546875" style="410" customWidth="1"/>
    <col min="1019" max="1019" width="52.7109375" style="410" customWidth="1"/>
    <col min="1020" max="1020" width="9.85546875" style="410" customWidth="1"/>
    <col min="1021" max="1021" width="5.7109375" style="410" customWidth="1"/>
    <col min="1022" max="1022" width="10.140625" style="410" customWidth="1"/>
    <col min="1023" max="1024" width="10.7109375" style="410" customWidth="1"/>
    <col min="1025" max="1025" width="10.5703125" style="410" customWidth="1"/>
    <col min="1026" max="1270" width="9.140625" style="410"/>
    <col min="1271" max="1271" width="4.7109375" style="410" customWidth="1"/>
    <col min="1272" max="1272" width="9.28515625" style="410" customWidth="1"/>
    <col min="1273" max="1273" width="9" style="410" customWidth="1"/>
    <col min="1274" max="1274" width="10.85546875" style="410" customWidth="1"/>
    <col min="1275" max="1275" width="52.7109375" style="410" customWidth="1"/>
    <col min="1276" max="1276" width="9.85546875" style="410" customWidth="1"/>
    <col min="1277" max="1277" width="5.7109375" style="410" customWidth="1"/>
    <col min="1278" max="1278" width="10.140625" style="410" customWidth="1"/>
    <col min="1279" max="1280" width="10.7109375" style="410" customWidth="1"/>
    <col min="1281" max="1281" width="10.5703125" style="410" customWidth="1"/>
    <col min="1282" max="1526" width="9.140625" style="410"/>
    <col min="1527" max="1527" width="4.7109375" style="410" customWidth="1"/>
    <col min="1528" max="1528" width="9.28515625" style="410" customWidth="1"/>
    <col min="1529" max="1529" width="9" style="410" customWidth="1"/>
    <col min="1530" max="1530" width="10.85546875" style="410" customWidth="1"/>
    <col min="1531" max="1531" width="52.7109375" style="410" customWidth="1"/>
    <col min="1532" max="1532" width="9.85546875" style="410" customWidth="1"/>
    <col min="1533" max="1533" width="5.7109375" style="410" customWidth="1"/>
    <col min="1534" max="1534" width="10.140625" style="410" customWidth="1"/>
    <col min="1535" max="1536" width="10.7109375" style="410" customWidth="1"/>
    <col min="1537" max="1537" width="10.5703125" style="410" customWidth="1"/>
    <col min="1538" max="1782" width="9.140625" style="410"/>
    <col min="1783" max="1783" width="4.7109375" style="410" customWidth="1"/>
    <col min="1784" max="1784" width="9.28515625" style="410" customWidth="1"/>
    <col min="1785" max="1785" width="9" style="410" customWidth="1"/>
    <col min="1786" max="1786" width="10.85546875" style="410" customWidth="1"/>
    <col min="1787" max="1787" width="52.7109375" style="410" customWidth="1"/>
    <col min="1788" max="1788" width="9.85546875" style="410" customWidth="1"/>
    <col min="1789" max="1789" width="5.7109375" style="410" customWidth="1"/>
    <col min="1790" max="1790" width="10.140625" style="410" customWidth="1"/>
    <col min="1791" max="1792" width="10.7109375" style="410" customWidth="1"/>
    <col min="1793" max="1793" width="10.5703125" style="410" customWidth="1"/>
    <col min="1794" max="2038" width="9.140625" style="410"/>
    <col min="2039" max="2039" width="4.7109375" style="410" customWidth="1"/>
    <col min="2040" max="2040" width="9.28515625" style="410" customWidth="1"/>
    <col min="2041" max="2041" width="9" style="410" customWidth="1"/>
    <col min="2042" max="2042" width="10.85546875" style="410" customWidth="1"/>
    <col min="2043" max="2043" width="52.7109375" style="410" customWidth="1"/>
    <col min="2044" max="2044" width="9.85546875" style="410" customWidth="1"/>
    <col min="2045" max="2045" width="5.7109375" style="410" customWidth="1"/>
    <col min="2046" max="2046" width="10.140625" style="410" customWidth="1"/>
    <col min="2047" max="2048" width="10.7109375" style="410" customWidth="1"/>
    <col min="2049" max="2049" width="10.5703125" style="410" customWidth="1"/>
    <col min="2050" max="2294" width="9.140625" style="410"/>
    <col min="2295" max="2295" width="4.7109375" style="410" customWidth="1"/>
    <col min="2296" max="2296" width="9.28515625" style="410" customWidth="1"/>
    <col min="2297" max="2297" width="9" style="410" customWidth="1"/>
    <col min="2298" max="2298" width="10.85546875" style="410" customWidth="1"/>
    <col min="2299" max="2299" width="52.7109375" style="410" customWidth="1"/>
    <col min="2300" max="2300" width="9.85546875" style="410" customWidth="1"/>
    <col min="2301" max="2301" width="5.7109375" style="410" customWidth="1"/>
    <col min="2302" max="2302" width="10.140625" style="410" customWidth="1"/>
    <col min="2303" max="2304" width="10.7109375" style="410" customWidth="1"/>
    <col min="2305" max="2305" width="10.5703125" style="410" customWidth="1"/>
    <col min="2306" max="2550" width="9.140625" style="410"/>
    <col min="2551" max="2551" width="4.7109375" style="410" customWidth="1"/>
    <col min="2552" max="2552" width="9.28515625" style="410" customWidth="1"/>
    <col min="2553" max="2553" width="9" style="410" customWidth="1"/>
    <col min="2554" max="2554" width="10.85546875" style="410" customWidth="1"/>
    <col min="2555" max="2555" width="52.7109375" style="410" customWidth="1"/>
    <col min="2556" max="2556" width="9.85546875" style="410" customWidth="1"/>
    <col min="2557" max="2557" width="5.7109375" style="410" customWidth="1"/>
    <col min="2558" max="2558" width="10.140625" style="410" customWidth="1"/>
    <col min="2559" max="2560" width="10.7109375" style="410" customWidth="1"/>
    <col min="2561" max="2561" width="10.5703125" style="410" customWidth="1"/>
    <col min="2562" max="2806" width="9.140625" style="410"/>
    <col min="2807" max="2807" width="4.7109375" style="410" customWidth="1"/>
    <col min="2808" max="2808" width="9.28515625" style="410" customWidth="1"/>
    <col min="2809" max="2809" width="9" style="410" customWidth="1"/>
    <col min="2810" max="2810" width="10.85546875" style="410" customWidth="1"/>
    <col min="2811" max="2811" width="52.7109375" style="410" customWidth="1"/>
    <col min="2812" max="2812" width="9.85546875" style="410" customWidth="1"/>
    <col min="2813" max="2813" width="5.7109375" style="410" customWidth="1"/>
    <col min="2814" max="2814" width="10.140625" style="410" customWidth="1"/>
    <col min="2815" max="2816" width="10.7109375" style="410" customWidth="1"/>
    <col min="2817" max="2817" width="10.5703125" style="410" customWidth="1"/>
    <col min="2818" max="3062" width="9.140625" style="410"/>
    <col min="3063" max="3063" width="4.7109375" style="410" customWidth="1"/>
    <col min="3064" max="3064" width="9.28515625" style="410" customWidth="1"/>
    <col min="3065" max="3065" width="9" style="410" customWidth="1"/>
    <col min="3066" max="3066" width="10.85546875" style="410" customWidth="1"/>
    <col min="3067" max="3067" width="52.7109375" style="410" customWidth="1"/>
    <col min="3068" max="3068" width="9.85546875" style="410" customWidth="1"/>
    <col min="3069" max="3069" width="5.7109375" style="410" customWidth="1"/>
    <col min="3070" max="3070" width="10.140625" style="410" customWidth="1"/>
    <col min="3071" max="3072" width="10.7109375" style="410" customWidth="1"/>
    <col min="3073" max="3073" width="10.5703125" style="410" customWidth="1"/>
    <col min="3074" max="3318" width="9.140625" style="410"/>
    <col min="3319" max="3319" width="4.7109375" style="410" customWidth="1"/>
    <col min="3320" max="3320" width="9.28515625" style="410" customWidth="1"/>
    <col min="3321" max="3321" width="9" style="410" customWidth="1"/>
    <col min="3322" max="3322" width="10.85546875" style="410" customWidth="1"/>
    <col min="3323" max="3323" width="52.7109375" style="410" customWidth="1"/>
    <col min="3324" max="3324" width="9.85546875" style="410" customWidth="1"/>
    <col min="3325" max="3325" width="5.7109375" style="410" customWidth="1"/>
    <col min="3326" max="3326" width="10.140625" style="410" customWidth="1"/>
    <col min="3327" max="3328" width="10.7109375" style="410" customWidth="1"/>
    <col min="3329" max="3329" width="10.5703125" style="410" customWidth="1"/>
    <col min="3330" max="3574" width="9.140625" style="410"/>
    <col min="3575" max="3575" width="4.7109375" style="410" customWidth="1"/>
    <col min="3576" max="3576" width="9.28515625" style="410" customWidth="1"/>
    <col min="3577" max="3577" width="9" style="410" customWidth="1"/>
    <col min="3578" max="3578" width="10.85546875" style="410" customWidth="1"/>
    <col min="3579" max="3579" width="52.7109375" style="410" customWidth="1"/>
    <col min="3580" max="3580" width="9.85546875" style="410" customWidth="1"/>
    <col min="3581" max="3581" width="5.7109375" style="410" customWidth="1"/>
    <col min="3582" max="3582" width="10.140625" style="410" customWidth="1"/>
    <col min="3583" max="3584" width="10.7109375" style="410" customWidth="1"/>
    <col min="3585" max="3585" width="10.5703125" style="410" customWidth="1"/>
    <col min="3586" max="3830" width="9.140625" style="410"/>
    <col min="3831" max="3831" width="4.7109375" style="410" customWidth="1"/>
    <col min="3832" max="3832" width="9.28515625" style="410" customWidth="1"/>
    <col min="3833" max="3833" width="9" style="410" customWidth="1"/>
    <col min="3834" max="3834" width="10.85546875" style="410" customWidth="1"/>
    <col min="3835" max="3835" width="52.7109375" style="410" customWidth="1"/>
    <col min="3836" max="3836" width="9.85546875" style="410" customWidth="1"/>
    <col min="3837" max="3837" width="5.7109375" style="410" customWidth="1"/>
    <col min="3838" max="3838" width="10.140625" style="410" customWidth="1"/>
    <col min="3839" max="3840" width="10.7109375" style="410" customWidth="1"/>
    <col min="3841" max="3841" width="10.5703125" style="410" customWidth="1"/>
    <col min="3842" max="4086" width="9.140625" style="410"/>
    <col min="4087" max="4087" width="4.7109375" style="410" customWidth="1"/>
    <col min="4088" max="4088" width="9.28515625" style="410" customWidth="1"/>
    <col min="4089" max="4089" width="9" style="410" customWidth="1"/>
    <col min="4090" max="4090" width="10.85546875" style="410" customWidth="1"/>
    <col min="4091" max="4091" width="52.7109375" style="410" customWidth="1"/>
    <col min="4092" max="4092" width="9.85546875" style="410" customWidth="1"/>
    <col min="4093" max="4093" width="5.7109375" style="410" customWidth="1"/>
    <col min="4094" max="4094" width="10.140625" style="410" customWidth="1"/>
    <col min="4095" max="4096" width="10.7109375" style="410" customWidth="1"/>
    <col min="4097" max="4097" width="10.5703125" style="410" customWidth="1"/>
    <col min="4098" max="4342" width="9.140625" style="410"/>
    <col min="4343" max="4343" width="4.7109375" style="410" customWidth="1"/>
    <col min="4344" max="4344" width="9.28515625" style="410" customWidth="1"/>
    <col min="4345" max="4345" width="9" style="410" customWidth="1"/>
    <col min="4346" max="4346" width="10.85546875" style="410" customWidth="1"/>
    <col min="4347" max="4347" width="52.7109375" style="410" customWidth="1"/>
    <col min="4348" max="4348" width="9.85546875" style="410" customWidth="1"/>
    <col min="4349" max="4349" width="5.7109375" style="410" customWidth="1"/>
    <col min="4350" max="4350" width="10.140625" style="410" customWidth="1"/>
    <col min="4351" max="4352" width="10.7109375" style="410" customWidth="1"/>
    <col min="4353" max="4353" width="10.5703125" style="410" customWidth="1"/>
    <col min="4354" max="4598" width="9.140625" style="410"/>
    <col min="4599" max="4599" width="4.7109375" style="410" customWidth="1"/>
    <col min="4600" max="4600" width="9.28515625" style="410" customWidth="1"/>
    <col min="4601" max="4601" width="9" style="410" customWidth="1"/>
    <col min="4602" max="4602" width="10.85546875" style="410" customWidth="1"/>
    <col min="4603" max="4603" width="52.7109375" style="410" customWidth="1"/>
    <col min="4604" max="4604" width="9.85546875" style="410" customWidth="1"/>
    <col min="4605" max="4605" width="5.7109375" style="410" customWidth="1"/>
    <col min="4606" max="4606" width="10.140625" style="410" customWidth="1"/>
    <col min="4607" max="4608" width="10.7109375" style="410" customWidth="1"/>
    <col min="4609" max="4609" width="10.5703125" style="410" customWidth="1"/>
    <col min="4610" max="4854" width="9.140625" style="410"/>
    <col min="4855" max="4855" width="4.7109375" style="410" customWidth="1"/>
    <col min="4856" max="4856" width="9.28515625" style="410" customWidth="1"/>
    <col min="4857" max="4857" width="9" style="410" customWidth="1"/>
    <col min="4858" max="4858" width="10.85546875" style="410" customWidth="1"/>
    <col min="4859" max="4859" width="52.7109375" style="410" customWidth="1"/>
    <col min="4860" max="4860" width="9.85546875" style="410" customWidth="1"/>
    <col min="4861" max="4861" width="5.7109375" style="410" customWidth="1"/>
    <col min="4862" max="4862" width="10.140625" style="410" customWidth="1"/>
    <col min="4863" max="4864" width="10.7109375" style="410" customWidth="1"/>
    <col min="4865" max="4865" width="10.5703125" style="410" customWidth="1"/>
    <col min="4866" max="5110" width="9.140625" style="410"/>
    <col min="5111" max="5111" width="4.7109375" style="410" customWidth="1"/>
    <col min="5112" max="5112" width="9.28515625" style="410" customWidth="1"/>
    <col min="5113" max="5113" width="9" style="410" customWidth="1"/>
    <col min="5114" max="5114" width="10.85546875" style="410" customWidth="1"/>
    <col min="5115" max="5115" width="52.7109375" style="410" customWidth="1"/>
    <col min="5116" max="5116" width="9.85546875" style="410" customWidth="1"/>
    <col min="5117" max="5117" width="5.7109375" style="410" customWidth="1"/>
    <col min="5118" max="5118" width="10.140625" style="410" customWidth="1"/>
    <col min="5119" max="5120" width="10.7109375" style="410" customWidth="1"/>
    <col min="5121" max="5121" width="10.5703125" style="410" customWidth="1"/>
    <col min="5122" max="5366" width="9.140625" style="410"/>
    <col min="5367" max="5367" width="4.7109375" style="410" customWidth="1"/>
    <col min="5368" max="5368" width="9.28515625" style="410" customWidth="1"/>
    <col min="5369" max="5369" width="9" style="410" customWidth="1"/>
    <col min="5370" max="5370" width="10.85546875" style="410" customWidth="1"/>
    <col min="5371" max="5371" width="52.7109375" style="410" customWidth="1"/>
    <col min="5372" max="5372" width="9.85546875" style="410" customWidth="1"/>
    <col min="5373" max="5373" width="5.7109375" style="410" customWidth="1"/>
    <col min="5374" max="5374" width="10.140625" style="410" customWidth="1"/>
    <col min="5375" max="5376" width="10.7109375" style="410" customWidth="1"/>
    <col min="5377" max="5377" width="10.5703125" style="410" customWidth="1"/>
    <col min="5378" max="5622" width="9.140625" style="410"/>
    <col min="5623" max="5623" width="4.7109375" style="410" customWidth="1"/>
    <col min="5624" max="5624" width="9.28515625" style="410" customWidth="1"/>
    <col min="5625" max="5625" width="9" style="410" customWidth="1"/>
    <col min="5626" max="5626" width="10.85546875" style="410" customWidth="1"/>
    <col min="5627" max="5627" width="52.7109375" style="410" customWidth="1"/>
    <col min="5628" max="5628" width="9.85546875" style="410" customWidth="1"/>
    <col min="5629" max="5629" width="5.7109375" style="410" customWidth="1"/>
    <col min="5630" max="5630" width="10.140625" style="410" customWidth="1"/>
    <col min="5631" max="5632" width="10.7109375" style="410" customWidth="1"/>
    <col min="5633" max="5633" width="10.5703125" style="410" customWidth="1"/>
    <col min="5634" max="5878" width="9.140625" style="410"/>
    <col min="5879" max="5879" width="4.7109375" style="410" customWidth="1"/>
    <col min="5880" max="5880" width="9.28515625" style="410" customWidth="1"/>
    <col min="5881" max="5881" width="9" style="410" customWidth="1"/>
    <col min="5882" max="5882" width="10.85546875" style="410" customWidth="1"/>
    <col min="5883" max="5883" width="52.7109375" style="410" customWidth="1"/>
    <col min="5884" max="5884" width="9.85546875" style="410" customWidth="1"/>
    <col min="5885" max="5885" width="5.7109375" style="410" customWidth="1"/>
    <col min="5886" max="5886" width="10.140625" style="410" customWidth="1"/>
    <col min="5887" max="5888" width="10.7109375" style="410" customWidth="1"/>
    <col min="5889" max="5889" width="10.5703125" style="410" customWidth="1"/>
    <col min="5890" max="6134" width="9.140625" style="410"/>
    <col min="6135" max="6135" width="4.7109375" style="410" customWidth="1"/>
    <col min="6136" max="6136" width="9.28515625" style="410" customWidth="1"/>
    <col min="6137" max="6137" width="9" style="410" customWidth="1"/>
    <col min="6138" max="6138" width="10.85546875" style="410" customWidth="1"/>
    <col min="6139" max="6139" width="52.7109375" style="410" customWidth="1"/>
    <col min="6140" max="6140" width="9.85546875" style="410" customWidth="1"/>
    <col min="6141" max="6141" width="5.7109375" style="410" customWidth="1"/>
    <col min="6142" max="6142" width="10.140625" style="410" customWidth="1"/>
    <col min="6143" max="6144" width="10.7109375" style="410" customWidth="1"/>
    <col min="6145" max="6145" width="10.5703125" style="410" customWidth="1"/>
    <col min="6146" max="6390" width="9.140625" style="410"/>
    <col min="6391" max="6391" width="4.7109375" style="410" customWidth="1"/>
    <col min="6392" max="6392" width="9.28515625" style="410" customWidth="1"/>
    <col min="6393" max="6393" width="9" style="410" customWidth="1"/>
    <col min="6394" max="6394" width="10.85546875" style="410" customWidth="1"/>
    <col min="6395" max="6395" width="52.7109375" style="410" customWidth="1"/>
    <col min="6396" max="6396" width="9.85546875" style="410" customWidth="1"/>
    <col min="6397" max="6397" width="5.7109375" style="410" customWidth="1"/>
    <col min="6398" max="6398" width="10.140625" style="410" customWidth="1"/>
    <col min="6399" max="6400" width="10.7109375" style="410" customWidth="1"/>
    <col min="6401" max="6401" width="10.5703125" style="410" customWidth="1"/>
    <col min="6402" max="6646" width="9.140625" style="410"/>
    <col min="6647" max="6647" width="4.7109375" style="410" customWidth="1"/>
    <col min="6648" max="6648" width="9.28515625" style="410" customWidth="1"/>
    <col min="6649" max="6649" width="9" style="410" customWidth="1"/>
    <col min="6650" max="6650" width="10.85546875" style="410" customWidth="1"/>
    <col min="6651" max="6651" width="52.7109375" style="410" customWidth="1"/>
    <col min="6652" max="6652" width="9.85546875" style="410" customWidth="1"/>
    <col min="6653" max="6653" width="5.7109375" style="410" customWidth="1"/>
    <col min="6654" max="6654" width="10.140625" style="410" customWidth="1"/>
    <col min="6655" max="6656" width="10.7109375" style="410" customWidth="1"/>
    <col min="6657" max="6657" width="10.5703125" style="410" customWidth="1"/>
    <col min="6658" max="6902" width="9.140625" style="410"/>
    <col min="6903" max="6903" width="4.7109375" style="410" customWidth="1"/>
    <col min="6904" max="6904" width="9.28515625" style="410" customWidth="1"/>
    <col min="6905" max="6905" width="9" style="410" customWidth="1"/>
    <col min="6906" max="6906" width="10.85546875" style="410" customWidth="1"/>
    <col min="6907" max="6907" width="52.7109375" style="410" customWidth="1"/>
    <col min="6908" max="6908" width="9.85546875" style="410" customWidth="1"/>
    <col min="6909" max="6909" width="5.7109375" style="410" customWidth="1"/>
    <col min="6910" max="6910" width="10.140625" style="410" customWidth="1"/>
    <col min="6911" max="6912" width="10.7109375" style="410" customWidth="1"/>
    <col min="6913" max="6913" width="10.5703125" style="410" customWidth="1"/>
    <col min="6914" max="7158" width="9.140625" style="410"/>
    <col min="7159" max="7159" width="4.7109375" style="410" customWidth="1"/>
    <col min="7160" max="7160" width="9.28515625" style="410" customWidth="1"/>
    <col min="7161" max="7161" width="9" style="410" customWidth="1"/>
    <col min="7162" max="7162" width="10.85546875" style="410" customWidth="1"/>
    <col min="7163" max="7163" width="52.7109375" style="410" customWidth="1"/>
    <col min="7164" max="7164" width="9.85546875" style="410" customWidth="1"/>
    <col min="7165" max="7165" width="5.7109375" style="410" customWidth="1"/>
    <col min="7166" max="7166" width="10.140625" style="410" customWidth="1"/>
    <col min="7167" max="7168" width="10.7109375" style="410" customWidth="1"/>
    <col min="7169" max="7169" width="10.5703125" style="410" customWidth="1"/>
    <col min="7170" max="7414" width="9.140625" style="410"/>
    <col min="7415" max="7415" width="4.7109375" style="410" customWidth="1"/>
    <col min="7416" max="7416" width="9.28515625" style="410" customWidth="1"/>
    <col min="7417" max="7417" width="9" style="410" customWidth="1"/>
    <col min="7418" max="7418" width="10.85546875" style="410" customWidth="1"/>
    <col min="7419" max="7419" width="52.7109375" style="410" customWidth="1"/>
    <col min="7420" max="7420" width="9.85546875" style="410" customWidth="1"/>
    <col min="7421" max="7421" width="5.7109375" style="410" customWidth="1"/>
    <col min="7422" max="7422" width="10.140625" style="410" customWidth="1"/>
    <col min="7423" max="7424" width="10.7109375" style="410" customWidth="1"/>
    <col min="7425" max="7425" width="10.5703125" style="410" customWidth="1"/>
    <col min="7426" max="7670" width="9.140625" style="410"/>
    <col min="7671" max="7671" width="4.7109375" style="410" customWidth="1"/>
    <col min="7672" max="7672" width="9.28515625" style="410" customWidth="1"/>
    <col min="7673" max="7673" width="9" style="410" customWidth="1"/>
    <col min="7674" max="7674" width="10.85546875" style="410" customWidth="1"/>
    <col min="7675" max="7675" width="52.7109375" style="410" customWidth="1"/>
    <col min="7676" max="7676" width="9.85546875" style="410" customWidth="1"/>
    <col min="7677" max="7677" width="5.7109375" style="410" customWidth="1"/>
    <col min="7678" max="7678" width="10.140625" style="410" customWidth="1"/>
    <col min="7679" max="7680" width="10.7109375" style="410" customWidth="1"/>
    <col min="7681" max="7681" width="10.5703125" style="410" customWidth="1"/>
    <col min="7682" max="7926" width="9.140625" style="410"/>
    <col min="7927" max="7927" width="4.7109375" style="410" customWidth="1"/>
    <col min="7928" max="7928" width="9.28515625" style="410" customWidth="1"/>
    <col min="7929" max="7929" width="9" style="410" customWidth="1"/>
    <col min="7930" max="7930" width="10.85546875" style="410" customWidth="1"/>
    <col min="7931" max="7931" width="52.7109375" style="410" customWidth="1"/>
    <col min="7932" max="7932" width="9.85546875" style="410" customWidth="1"/>
    <col min="7933" max="7933" width="5.7109375" style="410" customWidth="1"/>
    <col min="7934" max="7934" width="10.140625" style="410" customWidth="1"/>
    <col min="7935" max="7936" width="10.7109375" style="410" customWidth="1"/>
    <col min="7937" max="7937" width="10.5703125" style="410" customWidth="1"/>
    <col min="7938" max="8182" width="9.140625" style="410"/>
    <col min="8183" max="8183" width="4.7109375" style="410" customWidth="1"/>
    <col min="8184" max="8184" width="9.28515625" style="410" customWidth="1"/>
    <col min="8185" max="8185" width="9" style="410" customWidth="1"/>
    <col min="8186" max="8186" width="10.85546875" style="410" customWidth="1"/>
    <col min="8187" max="8187" width="52.7109375" style="410" customWidth="1"/>
    <col min="8188" max="8188" width="9.85546875" style="410" customWidth="1"/>
    <col min="8189" max="8189" width="5.7109375" style="410" customWidth="1"/>
    <col min="8190" max="8190" width="10.140625" style="410" customWidth="1"/>
    <col min="8191" max="8192" width="10.7109375" style="410" customWidth="1"/>
    <col min="8193" max="8193" width="10.5703125" style="410" customWidth="1"/>
    <col min="8194" max="8438" width="9.140625" style="410"/>
    <col min="8439" max="8439" width="4.7109375" style="410" customWidth="1"/>
    <col min="8440" max="8440" width="9.28515625" style="410" customWidth="1"/>
    <col min="8441" max="8441" width="9" style="410" customWidth="1"/>
    <col min="8442" max="8442" width="10.85546875" style="410" customWidth="1"/>
    <col min="8443" max="8443" width="52.7109375" style="410" customWidth="1"/>
    <col min="8444" max="8444" width="9.85546875" style="410" customWidth="1"/>
    <col min="8445" max="8445" width="5.7109375" style="410" customWidth="1"/>
    <col min="8446" max="8446" width="10.140625" style="410" customWidth="1"/>
    <col min="8447" max="8448" width="10.7109375" style="410" customWidth="1"/>
    <col min="8449" max="8449" width="10.5703125" style="410" customWidth="1"/>
    <col min="8450" max="8694" width="9.140625" style="410"/>
    <col min="8695" max="8695" width="4.7109375" style="410" customWidth="1"/>
    <col min="8696" max="8696" width="9.28515625" style="410" customWidth="1"/>
    <col min="8697" max="8697" width="9" style="410" customWidth="1"/>
    <col min="8698" max="8698" width="10.85546875" style="410" customWidth="1"/>
    <col min="8699" max="8699" width="52.7109375" style="410" customWidth="1"/>
    <col min="8700" max="8700" width="9.85546875" style="410" customWidth="1"/>
    <col min="8701" max="8701" width="5.7109375" style="410" customWidth="1"/>
    <col min="8702" max="8702" width="10.140625" style="410" customWidth="1"/>
    <col min="8703" max="8704" width="10.7109375" style="410" customWidth="1"/>
    <col min="8705" max="8705" width="10.5703125" style="410" customWidth="1"/>
    <col min="8706" max="8950" width="9.140625" style="410"/>
    <col min="8951" max="8951" width="4.7109375" style="410" customWidth="1"/>
    <col min="8952" max="8952" width="9.28515625" style="410" customWidth="1"/>
    <col min="8953" max="8953" width="9" style="410" customWidth="1"/>
    <col min="8954" max="8954" width="10.85546875" style="410" customWidth="1"/>
    <col min="8955" max="8955" width="52.7109375" style="410" customWidth="1"/>
    <col min="8956" max="8956" width="9.85546875" style="410" customWidth="1"/>
    <col min="8957" max="8957" width="5.7109375" style="410" customWidth="1"/>
    <col min="8958" max="8958" width="10.140625" style="410" customWidth="1"/>
    <col min="8959" max="8960" width="10.7109375" style="410" customWidth="1"/>
    <col min="8961" max="8961" width="10.5703125" style="410" customWidth="1"/>
    <col min="8962" max="9206" width="9.140625" style="410"/>
    <col min="9207" max="9207" width="4.7109375" style="410" customWidth="1"/>
    <col min="9208" max="9208" width="9.28515625" style="410" customWidth="1"/>
    <col min="9209" max="9209" width="9" style="410" customWidth="1"/>
    <col min="9210" max="9210" width="10.85546875" style="410" customWidth="1"/>
    <col min="9211" max="9211" width="52.7109375" style="410" customWidth="1"/>
    <col min="9212" max="9212" width="9.85546875" style="410" customWidth="1"/>
    <col min="9213" max="9213" width="5.7109375" style="410" customWidth="1"/>
    <col min="9214" max="9214" width="10.140625" style="410" customWidth="1"/>
    <col min="9215" max="9216" width="10.7109375" style="410" customWidth="1"/>
    <col min="9217" max="9217" width="10.5703125" style="410" customWidth="1"/>
    <col min="9218" max="9462" width="9.140625" style="410"/>
    <col min="9463" max="9463" width="4.7109375" style="410" customWidth="1"/>
    <col min="9464" max="9464" width="9.28515625" style="410" customWidth="1"/>
    <col min="9465" max="9465" width="9" style="410" customWidth="1"/>
    <col min="9466" max="9466" width="10.85546875" style="410" customWidth="1"/>
    <col min="9467" max="9467" width="52.7109375" style="410" customWidth="1"/>
    <col min="9468" max="9468" width="9.85546875" style="410" customWidth="1"/>
    <col min="9469" max="9469" width="5.7109375" style="410" customWidth="1"/>
    <col min="9470" max="9470" width="10.140625" style="410" customWidth="1"/>
    <col min="9471" max="9472" width="10.7109375" style="410" customWidth="1"/>
    <col min="9473" max="9473" width="10.5703125" style="410" customWidth="1"/>
    <col min="9474" max="9718" width="9.140625" style="410"/>
    <col min="9719" max="9719" width="4.7109375" style="410" customWidth="1"/>
    <col min="9720" max="9720" width="9.28515625" style="410" customWidth="1"/>
    <col min="9721" max="9721" width="9" style="410" customWidth="1"/>
    <col min="9722" max="9722" width="10.85546875" style="410" customWidth="1"/>
    <col min="9723" max="9723" width="52.7109375" style="410" customWidth="1"/>
    <col min="9724" max="9724" width="9.85546875" style="410" customWidth="1"/>
    <col min="9725" max="9725" width="5.7109375" style="410" customWidth="1"/>
    <col min="9726" max="9726" width="10.140625" style="410" customWidth="1"/>
    <col min="9727" max="9728" width="10.7109375" style="410" customWidth="1"/>
    <col min="9729" max="9729" width="10.5703125" style="410" customWidth="1"/>
    <col min="9730" max="9974" width="9.140625" style="410"/>
    <col min="9975" max="9975" width="4.7109375" style="410" customWidth="1"/>
    <col min="9976" max="9976" width="9.28515625" style="410" customWidth="1"/>
    <col min="9977" max="9977" width="9" style="410" customWidth="1"/>
    <col min="9978" max="9978" width="10.85546875" style="410" customWidth="1"/>
    <col min="9979" max="9979" width="52.7109375" style="410" customWidth="1"/>
    <col min="9980" max="9980" width="9.85546875" style="410" customWidth="1"/>
    <col min="9981" max="9981" width="5.7109375" style="410" customWidth="1"/>
    <col min="9982" max="9982" width="10.140625" style="410" customWidth="1"/>
    <col min="9983" max="9984" width="10.7109375" style="410" customWidth="1"/>
    <col min="9985" max="9985" width="10.5703125" style="410" customWidth="1"/>
    <col min="9986" max="10230" width="9.140625" style="410"/>
    <col min="10231" max="10231" width="4.7109375" style="410" customWidth="1"/>
    <col min="10232" max="10232" width="9.28515625" style="410" customWidth="1"/>
    <col min="10233" max="10233" width="9" style="410" customWidth="1"/>
    <col min="10234" max="10234" width="10.85546875" style="410" customWidth="1"/>
    <col min="10235" max="10235" width="52.7109375" style="410" customWidth="1"/>
    <col min="10236" max="10236" width="9.85546875" style="410" customWidth="1"/>
    <col min="10237" max="10237" width="5.7109375" style="410" customWidth="1"/>
    <col min="10238" max="10238" width="10.140625" style="410" customWidth="1"/>
    <col min="10239" max="10240" width="10.7109375" style="410" customWidth="1"/>
    <col min="10241" max="10241" width="10.5703125" style="410" customWidth="1"/>
    <col min="10242" max="10486" width="9.140625" style="410"/>
    <col min="10487" max="10487" width="4.7109375" style="410" customWidth="1"/>
    <col min="10488" max="10488" width="9.28515625" style="410" customWidth="1"/>
    <col min="10489" max="10489" width="9" style="410" customWidth="1"/>
    <col min="10490" max="10490" width="10.85546875" style="410" customWidth="1"/>
    <col min="10491" max="10491" width="52.7109375" style="410" customWidth="1"/>
    <col min="10492" max="10492" width="9.85546875" style="410" customWidth="1"/>
    <col min="10493" max="10493" width="5.7109375" style="410" customWidth="1"/>
    <col min="10494" max="10494" width="10.140625" style="410" customWidth="1"/>
    <col min="10495" max="10496" width="10.7109375" style="410" customWidth="1"/>
    <col min="10497" max="10497" width="10.5703125" style="410" customWidth="1"/>
    <col min="10498" max="10742" width="9.140625" style="410"/>
    <col min="10743" max="10743" width="4.7109375" style="410" customWidth="1"/>
    <col min="10744" max="10744" width="9.28515625" style="410" customWidth="1"/>
    <col min="10745" max="10745" width="9" style="410" customWidth="1"/>
    <col min="10746" max="10746" width="10.85546875" style="410" customWidth="1"/>
    <col min="10747" max="10747" width="52.7109375" style="410" customWidth="1"/>
    <col min="10748" max="10748" width="9.85546875" style="410" customWidth="1"/>
    <col min="10749" max="10749" width="5.7109375" style="410" customWidth="1"/>
    <col min="10750" max="10750" width="10.140625" style="410" customWidth="1"/>
    <col min="10751" max="10752" width="10.7109375" style="410" customWidth="1"/>
    <col min="10753" max="10753" width="10.5703125" style="410" customWidth="1"/>
    <col min="10754" max="10998" width="9.140625" style="410"/>
    <col min="10999" max="10999" width="4.7109375" style="410" customWidth="1"/>
    <col min="11000" max="11000" width="9.28515625" style="410" customWidth="1"/>
    <col min="11001" max="11001" width="9" style="410" customWidth="1"/>
    <col min="11002" max="11002" width="10.85546875" style="410" customWidth="1"/>
    <col min="11003" max="11003" width="52.7109375" style="410" customWidth="1"/>
    <col min="11004" max="11004" width="9.85546875" style="410" customWidth="1"/>
    <col min="11005" max="11005" width="5.7109375" style="410" customWidth="1"/>
    <col min="11006" max="11006" width="10.140625" style="410" customWidth="1"/>
    <col min="11007" max="11008" width="10.7109375" style="410" customWidth="1"/>
    <col min="11009" max="11009" width="10.5703125" style="410" customWidth="1"/>
    <col min="11010" max="11254" width="9.140625" style="410"/>
    <col min="11255" max="11255" width="4.7109375" style="410" customWidth="1"/>
    <col min="11256" max="11256" width="9.28515625" style="410" customWidth="1"/>
    <col min="11257" max="11257" width="9" style="410" customWidth="1"/>
    <col min="11258" max="11258" width="10.85546875" style="410" customWidth="1"/>
    <col min="11259" max="11259" width="52.7109375" style="410" customWidth="1"/>
    <col min="11260" max="11260" width="9.85546875" style="410" customWidth="1"/>
    <col min="11261" max="11261" width="5.7109375" style="410" customWidth="1"/>
    <col min="11262" max="11262" width="10.140625" style="410" customWidth="1"/>
    <col min="11263" max="11264" width="10.7109375" style="410" customWidth="1"/>
    <col min="11265" max="11265" width="10.5703125" style="410" customWidth="1"/>
    <col min="11266" max="11510" width="9.140625" style="410"/>
    <col min="11511" max="11511" width="4.7109375" style="410" customWidth="1"/>
    <col min="11512" max="11512" width="9.28515625" style="410" customWidth="1"/>
    <col min="11513" max="11513" width="9" style="410" customWidth="1"/>
    <col min="11514" max="11514" width="10.85546875" style="410" customWidth="1"/>
    <col min="11515" max="11515" width="52.7109375" style="410" customWidth="1"/>
    <col min="11516" max="11516" width="9.85546875" style="410" customWidth="1"/>
    <col min="11517" max="11517" width="5.7109375" style="410" customWidth="1"/>
    <col min="11518" max="11518" width="10.140625" style="410" customWidth="1"/>
    <col min="11519" max="11520" width="10.7109375" style="410" customWidth="1"/>
    <col min="11521" max="11521" width="10.5703125" style="410" customWidth="1"/>
    <col min="11522" max="11766" width="9.140625" style="410"/>
    <col min="11767" max="11767" width="4.7109375" style="410" customWidth="1"/>
    <col min="11768" max="11768" width="9.28515625" style="410" customWidth="1"/>
    <col min="11769" max="11769" width="9" style="410" customWidth="1"/>
    <col min="11770" max="11770" width="10.85546875" style="410" customWidth="1"/>
    <col min="11771" max="11771" width="52.7109375" style="410" customWidth="1"/>
    <col min="11772" max="11772" width="9.85546875" style="410" customWidth="1"/>
    <col min="11773" max="11773" width="5.7109375" style="410" customWidth="1"/>
    <col min="11774" max="11774" width="10.140625" style="410" customWidth="1"/>
    <col min="11775" max="11776" width="10.7109375" style="410" customWidth="1"/>
    <col min="11777" max="11777" width="10.5703125" style="410" customWidth="1"/>
    <col min="11778" max="12022" width="9.140625" style="410"/>
    <col min="12023" max="12023" width="4.7109375" style="410" customWidth="1"/>
    <col min="12024" max="12024" width="9.28515625" style="410" customWidth="1"/>
    <col min="12025" max="12025" width="9" style="410" customWidth="1"/>
    <col min="12026" max="12026" width="10.85546875" style="410" customWidth="1"/>
    <col min="12027" max="12027" width="52.7109375" style="410" customWidth="1"/>
    <col min="12028" max="12028" width="9.85546875" style="410" customWidth="1"/>
    <col min="12029" max="12029" width="5.7109375" style="410" customWidth="1"/>
    <col min="12030" max="12030" width="10.140625" style="410" customWidth="1"/>
    <col min="12031" max="12032" width="10.7109375" style="410" customWidth="1"/>
    <col min="12033" max="12033" width="10.5703125" style="410" customWidth="1"/>
    <col min="12034" max="12278" width="9.140625" style="410"/>
    <col min="12279" max="12279" width="4.7109375" style="410" customWidth="1"/>
    <col min="12280" max="12280" width="9.28515625" style="410" customWidth="1"/>
    <col min="12281" max="12281" width="9" style="410" customWidth="1"/>
    <col min="12282" max="12282" width="10.85546875" style="410" customWidth="1"/>
    <col min="12283" max="12283" width="52.7109375" style="410" customWidth="1"/>
    <col min="12284" max="12284" width="9.85546875" style="410" customWidth="1"/>
    <col min="12285" max="12285" width="5.7109375" style="410" customWidth="1"/>
    <col min="12286" max="12286" width="10.140625" style="410" customWidth="1"/>
    <col min="12287" max="12288" width="10.7109375" style="410" customWidth="1"/>
    <col min="12289" max="12289" width="10.5703125" style="410" customWidth="1"/>
    <col min="12290" max="12534" width="9.140625" style="410"/>
    <col min="12535" max="12535" width="4.7109375" style="410" customWidth="1"/>
    <col min="12536" max="12536" width="9.28515625" style="410" customWidth="1"/>
    <col min="12537" max="12537" width="9" style="410" customWidth="1"/>
    <col min="12538" max="12538" width="10.85546875" style="410" customWidth="1"/>
    <col min="12539" max="12539" width="52.7109375" style="410" customWidth="1"/>
    <col min="12540" max="12540" width="9.85546875" style="410" customWidth="1"/>
    <col min="12541" max="12541" width="5.7109375" style="410" customWidth="1"/>
    <col min="12542" max="12542" width="10.140625" style="410" customWidth="1"/>
    <col min="12543" max="12544" width="10.7109375" style="410" customWidth="1"/>
    <col min="12545" max="12545" width="10.5703125" style="410" customWidth="1"/>
    <col min="12546" max="12790" width="9.140625" style="410"/>
    <col min="12791" max="12791" width="4.7109375" style="410" customWidth="1"/>
    <col min="12792" max="12792" width="9.28515625" style="410" customWidth="1"/>
    <col min="12793" max="12793" width="9" style="410" customWidth="1"/>
    <col min="12794" max="12794" width="10.85546875" style="410" customWidth="1"/>
    <col min="12795" max="12795" width="52.7109375" style="410" customWidth="1"/>
    <col min="12796" max="12796" width="9.85546875" style="410" customWidth="1"/>
    <col min="12797" max="12797" width="5.7109375" style="410" customWidth="1"/>
    <col min="12798" max="12798" width="10.140625" style="410" customWidth="1"/>
    <col min="12799" max="12800" width="10.7109375" style="410" customWidth="1"/>
    <col min="12801" max="12801" width="10.5703125" style="410" customWidth="1"/>
    <col min="12802" max="13046" width="9.140625" style="410"/>
    <col min="13047" max="13047" width="4.7109375" style="410" customWidth="1"/>
    <col min="13048" max="13048" width="9.28515625" style="410" customWidth="1"/>
    <col min="13049" max="13049" width="9" style="410" customWidth="1"/>
    <col min="13050" max="13050" width="10.85546875" style="410" customWidth="1"/>
    <col min="13051" max="13051" width="52.7109375" style="410" customWidth="1"/>
    <col min="13052" max="13052" width="9.85546875" style="410" customWidth="1"/>
    <col min="13053" max="13053" width="5.7109375" style="410" customWidth="1"/>
    <col min="13054" max="13054" width="10.140625" style="410" customWidth="1"/>
    <col min="13055" max="13056" width="10.7109375" style="410" customWidth="1"/>
    <col min="13057" max="13057" width="10.5703125" style="410" customWidth="1"/>
    <col min="13058" max="13302" width="9.140625" style="410"/>
    <col min="13303" max="13303" width="4.7109375" style="410" customWidth="1"/>
    <col min="13304" max="13304" width="9.28515625" style="410" customWidth="1"/>
    <col min="13305" max="13305" width="9" style="410" customWidth="1"/>
    <col min="13306" max="13306" width="10.85546875" style="410" customWidth="1"/>
    <col min="13307" max="13307" width="52.7109375" style="410" customWidth="1"/>
    <col min="13308" max="13308" width="9.85546875" style="410" customWidth="1"/>
    <col min="13309" max="13309" width="5.7109375" style="410" customWidth="1"/>
    <col min="13310" max="13310" width="10.140625" style="410" customWidth="1"/>
    <col min="13311" max="13312" width="10.7109375" style="410" customWidth="1"/>
    <col min="13313" max="13313" width="10.5703125" style="410" customWidth="1"/>
    <col min="13314" max="13558" width="9.140625" style="410"/>
    <col min="13559" max="13559" width="4.7109375" style="410" customWidth="1"/>
    <col min="13560" max="13560" width="9.28515625" style="410" customWidth="1"/>
    <col min="13561" max="13561" width="9" style="410" customWidth="1"/>
    <col min="13562" max="13562" width="10.85546875" style="410" customWidth="1"/>
    <col min="13563" max="13563" width="52.7109375" style="410" customWidth="1"/>
    <col min="13564" max="13564" width="9.85546875" style="410" customWidth="1"/>
    <col min="13565" max="13565" width="5.7109375" style="410" customWidth="1"/>
    <col min="13566" max="13566" width="10.140625" style="410" customWidth="1"/>
    <col min="13567" max="13568" width="10.7109375" style="410" customWidth="1"/>
    <col min="13569" max="13569" width="10.5703125" style="410" customWidth="1"/>
    <col min="13570" max="13814" width="9.140625" style="410"/>
    <col min="13815" max="13815" width="4.7109375" style="410" customWidth="1"/>
    <col min="13816" max="13816" width="9.28515625" style="410" customWidth="1"/>
    <col min="13817" max="13817" width="9" style="410" customWidth="1"/>
    <col min="13818" max="13818" width="10.85546875" style="410" customWidth="1"/>
    <col min="13819" max="13819" width="52.7109375" style="410" customWidth="1"/>
    <col min="13820" max="13820" width="9.85546875" style="410" customWidth="1"/>
    <col min="13821" max="13821" width="5.7109375" style="410" customWidth="1"/>
    <col min="13822" max="13822" width="10.140625" style="410" customWidth="1"/>
    <col min="13823" max="13824" width="10.7109375" style="410" customWidth="1"/>
    <col min="13825" max="13825" width="10.5703125" style="410" customWidth="1"/>
    <col min="13826" max="14070" width="9.140625" style="410"/>
    <col min="14071" max="14071" width="4.7109375" style="410" customWidth="1"/>
    <col min="14072" max="14072" width="9.28515625" style="410" customWidth="1"/>
    <col min="14073" max="14073" width="9" style="410" customWidth="1"/>
    <col min="14074" max="14074" width="10.85546875" style="410" customWidth="1"/>
    <col min="14075" max="14075" width="52.7109375" style="410" customWidth="1"/>
    <col min="14076" max="14076" width="9.85546875" style="410" customWidth="1"/>
    <col min="14077" max="14077" width="5.7109375" style="410" customWidth="1"/>
    <col min="14078" max="14078" width="10.140625" style="410" customWidth="1"/>
    <col min="14079" max="14080" width="10.7109375" style="410" customWidth="1"/>
    <col min="14081" max="14081" width="10.5703125" style="410" customWidth="1"/>
    <col min="14082" max="14326" width="9.140625" style="410"/>
    <col min="14327" max="14327" width="4.7109375" style="410" customWidth="1"/>
    <col min="14328" max="14328" width="9.28515625" style="410" customWidth="1"/>
    <col min="14329" max="14329" width="9" style="410" customWidth="1"/>
    <col min="14330" max="14330" width="10.85546875" style="410" customWidth="1"/>
    <col min="14331" max="14331" width="52.7109375" style="410" customWidth="1"/>
    <col min="14332" max="14332" width="9.85546875" style="410" customWidth="1"/>
    <col min="14333" max="14333" width="5.7109375" style="410" customWidth="1"/>
    <col min="14334" max="14334" width="10.140625" style="410" customWidth="1"/>
    <col min="14335" max="14336" width="10.7109375" style="410" customWidth="1"/>
    <col min="14337" max="14337" width="10.5703125" style="410" customWidth="1"/>
    <col min="14338" max="14582" width="9.140625" style="410"/>
    <col min="14583" max="14583" width="4.7109375" style="410" customWidth="1"/>
    <col min="14584" max="14584" width="9.28515625" style="410" customWidth="1"/>
    <col min="14585" max="14585" width="9" style="410" customWidth="1"/>
    <col min="14586" max="14586" width="10.85546875" style="410" customWidth="1"/>
    <col min="14587" max="14587" width="52.7109375" style="410" customWidth="1"/>
    <col min="14588" max="14588" width="9.85546875" style="410" customWidth="1"/>
    <col min="14589" max="14589" width="5.7109375" style="410" customWidth="1"/>
    <col min="14590" max="14590" width="10.140625" style="410" customWidth="1"/>
    <col min="14591" max="14592" width="10.7109375" style="410" customWidth="1"/>
    <col min="14593" max="14593" width="10.5703125" style="410" customWidth="1"/>
    <col min="14594" max="14838" width="9.140625" style="410"/>
    <col min="14839" max="14839" width="4.7109375" style="410" customWidth="1"/>
    <col min="14840" max="14840" width="9.28515625" style="410" customWidth="1"/>
    <col min="14841" max="14841" width="9" style="410" customWidth="1"/>
    <col min="14842" max="14842" width="10.85546875" style="410" customWidth="1"/>
    <col min="14843" max="14843" width="52.7109375" style="410" customWidth="1"/>
    <col min="14844" max="14844" width="9.85546875" style="410" customWidth="1"/>
    <col min="14845" max="14845" width="5.7109375" style="410" customWidth="1"/>
    <col min="14846" max="14846" width="10.140625" style="410" customWidth="1"/>
    <col min="14847" max="14848" width="10.7109375" style="410" customWidth="1"/>
    <col min="14849" max="14849" width="10.5703125" style="410" customWidth="1"/>
    <col min="14850" max="15094" width="9.140625" style="410"/>
    <col min="15095" max="15095" width="4.7109375" style="410" customWidth="1"/>
    <col min="15096" max="15096" width="9.28515625" style="410" customWidth="1"/>
    <col min="15097" max="15097" width="9" style="410" customWidth="1"/>
    <col min="15098" max="15098" width="10.85546875" style="410" customWidth="1"/>
    <col min="15099" max="15099" width="52.7109375" style="410" customWidth="1"/>
    <col min="15100" max="15100" width="9.85546875" style="410" customWidth="1"/>
    <col min="15101" max="15101" width="5.7109375" style="410" customWidth="1"/>
    <col min="15102" max="15102" width="10.140625" style="410" customWidth="1"/>
    <col min="15103" max="15104" width="10.7109375" style="410" customWidth="1"/>
    <col min="15105" max="15105" width="10.5703125" style="410" customWidth="1"/>
    <col min="15106" max="15350" width="9.140625" style="410"/>
    <col min="15351" max="15351" width="4.7109375" style="410" customWidth="1"/>
    <col min="15352" max="15352" width="9.28515625" style="410" customWidth="1"/>
    <col min="15353" max="15353" width="9" style="410" customWidth="1"/>
    <col min="15354" max="15354" width="10.85546875" style="410" customWidth="1"/>
    <col min="15355" max="15355" width="52.7109375" style="410" customWidth="1"/>
    <col min="15356" max="15356" width="9.85546875" style="410" customWidth="1"/>
    <col min="15357" max="15357" width="5.7109375" style="410" customWidth="1"/>
    <col min="15358" max="15358" width="10.140625" style="410" customWidth="1"/>
    <col min="15359" max="15360" width="10.7109375" style="410" customWidth="1"/>
    <col min="15361" max="15361" width="10.5703125" style="410" customWidth="1"/>
    <col min="15362" max="15606" width="9.140625" style="410"/>
    <col min="15607" max="15607" width="4.7109375" style="410" customWidth="1"/>
    <col min="15608" max="15608" width="9.28515625" style="410" customWidth="1"/>
    <col min="15609" max="15609" width="9" style="410" customWidth="1"/>
    <col min="15610" max="15610" width="10.85546875" style="410" customWidth="1"/>
    <col min="15611" max="15611" width="52.7109375" style="410" customWidth="1"/>
    <col min="15612" max="15612" width="9.85546875" style="410" customWidth="1"/>
    <col min="15613" max="15613" width="5.7109375" style="410" customWidth="1"/>
    <col min="15614" max="15614" width="10.140625" style="410" customWidth="1"/>
    <col min="15615" max="15616" width="10.7109375" style="410" customWidth="1"/>
    <col min="15617" max="15617" width="10.5703125" style="410" customWidth="1"/>
    <col min="15618" max="15862" width="9.140625" style="410"/>
    <col min="15863" max="15863" width="4.7109375" style="410" customWidth="1"/>
    <col min="15864" max="15864" width="9.28515625" style="410" customWidth="1"/>
    <col min="15865" max="15865" width="9" style="410" customWidth="1"/>
    <col min="15866" max="15866" width="10.85546875" style="410" customWidth="1"/>
    <col min="15867" max="15867" width="52.7109375" style="410" customWidth="1"/>
    <col min="15868" max="15868" width="9.85546875" style="410" customWidth="1"/>
    <col min="15869" max="15869" width="5.7109375" style="410" customWidth="1"/>
    <col min="15870" max="15870" width="10.140625" style="410" customWidth="1"/>
    <col min="15871" max="15872" width="10.7109375" style="410" customWidth="1"/>
    <col min="15873" max="15873" width="10.5703125" style="410" customWidth="1"/>
    <col min="15874" max="16118" width="9.140625" style="410"/>
    <col min="16119" max="16119" width="4.7109375" style="410" customWidth="1"/>
    <col min="16120" max="16120" width="9.28515625" style="410" customWidth="1"/>
    <col min="16121" max="16121" width="9" style="410" customWidth="1"/>
    <col min="16122" max="16122" width="10.85546875" style="410" customWidth="1"/>
    <col min="16123" max="16123" width="52.7109375" style="410" customWidth="1"/>
    <col min="16124" max="16124" width="9.85546875" style="410" customWidth="1"/>
    <col min="16125" max="16125" width="5.7109375" style="410" customWidth="1"/>
    <col min="16126" max="16126" width="10.140625" style="410" customWidth="1"/>
    <col min="16127" max="16128" width="10.7109375" style="410" customWidth="1"/>
    <col min="16129" max="16129" width="10.5703125" style="410" customWidth="1"/>
    <col min="16130" max="16384" width="9.140625" style="410"/>
  </cols>
  <sheetData>
    <row r="1" spans="1:8">
      <c r="A1" s="406" t="s">
        <v>1</v>
      </c>
      <c r="B1" s="406"/>
      <c r="C1" s="407"/>
      <c r="D1" s="408"/>
      <c r="E1" s="969" t="s">
        <v>2420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 customFormat="1" ht="15">
      <c r="A5" s="970"/>
      <c r="B5" s="971"/>
      <c r="C5" s="972"/>
      <c r="D5" s="973"/>
      <c r="E5" s="974"/>
      <c r="F5" s="975"/>
      <c r="G5" s="976"/>
      <c r="H5" s="977"/>
    </row>
    <row r="6" spans="1:8" s="450" customFormat="1">
      <c r="A6" s="520"/>
      <c r="B6" s="35" t="s">
        <v>501</v>
      </c>
      <c r="C6" s="35"/>
      <c r="D6" s="94"/>
      <c r="E6" s="27" t="s">
        <v>502</v>
      </c>
      <c r="F6" s="515"/>
      <c r="G6" s="516"/>
      <c r="H6" s="553"/>
    </row>
    <row r="7" spans="1:8" s="450" customFormat="1">
      <c r="A7" s="520"/>
      <c r="B7" s="35"/>
      <c r="C7" s="35"/>
      <c r="D7" s="94"/>
      <c r="E7" s="27"/>
      <c r="F7" s="568"/>
      <c r="G7" s="516"/>
      <c r="H7" s="553"/>
    </row>
    <row r="8" spans="1:8" customFormat="1" ht="15">
      <c r="A8" s="334">
        <f>MAX(A$1:A5)+1</f>
        <v>1</v>
      </c>
      <c r="B8" s="43"/>
      <c r="C8" s="195" t="s">
        <v>2421</v>
      </c>
      <c r="D8" s="196"/>
      <c r="E8" s="251" t="s">
        <v>2422</v>
      </c>
      <c r="F8" s="137"/>
      <c r="G8" s="286" t="s">
        <v>33</v>
      </c>
      <c r="H8" s="540">
        <v>4</v>
      </c>
    </row>
    <row r="9" spans="1:8" customFormat="1" ht="25.5">
      <c r="A9" s="72"/>
      <c r="B9" s="43"/>
      <c r="C9" s="195"/>
      <c r="D9" s="199" t="s">
        <v>2423</v>
      </c>
      <c r="E9" s="167" t="s">
        <v>2424</v>
      </c>
      <c r="F9" s="322"/>
      <c r="G9" s="295" t="s">
        <v>33</v>
      </c>
      <c r="H9" s="541">
        <v>4</v>
      </c>
    </row>
    <row r="10" spans="1:8" customFormat="1" ht="15">
      <c r="A10" s="72"/>
      <c r="B10" s="43"/>
      <c r="C10" s="195"/>
      <c r="D10" s="196"/>
      <c r="E10" s="167" t="s">
        <v>2425</v>
      </c>
      <c r="F10" s="521">
        <v>4</v>
      </c>
      <c r="G10" s="286"/>
      <c r="H10" s="563"/>
    </row>
    <row r="11" spans="1:8" customFormat="1" ht="15">
      <c r="A11" s="72"/>
      <c r="B11" s="43"/>
      <c r="C11" s="195"/>
      <c r="D11" s="196"/>
      <c r="E11" s="251"/>
      <c r="F11" s="137"/>
      <c r="G11" s="286"/>
      <c r="H11" s="563"/>
    </row>
    <row r="12" spans="1:8" customFormat="1" ht="15">
      <c r="A12" s="334">
        <f>MAX(A$1:A10)+1</f>
        <v>2</v>
      </c>
      <c r="B12" s="43"/>
      <c r="C12" s="195" t="s">
        <v>2426</v>
      </c>
      <c r="D12" s="196"/>
      <c r="E12" s="251" t="s">
        <v>2427</v>
      </c>
      <c r="F12" s="264"/>
      <c r="G12" s="286" t="s">
        <v>33</v>
      </c>
      <c r="H12" s="540">
        <v>4</v>
      </c>
    </row>
    <row r="13" spans="1:8" customFormat="1" ht="15">
      <c r="A13" s="290"/>
      <c r="B13" s="328"/>
      <c r="C13" s="198"/>
      <c r="D13" s="199" t="s">
        <v>2428</v>
      </c>
      <c r="E13" s="167" t="s">
        <v>2429</v>
      </c>
      <c r="F13" s="212"/>
      <c r="G13" s="295" t="s">
        <v>33</v>
      </c>
      <c r="H13" s="541">
        <v>4</v>
      </c>
    </row>
    <row r="14" spans="1:8" customFormat="1" ht="15">
      <c r="A14" s="290"/>
      <c r="B14" s="328"/>
      <c r="C14" s="344"/>
      <c r="D14" s="199"/>
      <c r="E14" s="167" t="s">
        <v>2430</v>
      </c>
      <c r="F14" s="212">
        <v>4</v>
      </c>
      <c r="G14" s="295"/>
      <c r="H14" s="723"/>
    </row>
    <row r="15" spans="1:8" customFormat="1" ht="15">
      <c r="A15" s="290"/>
      <c r="B15" s="328"/>
      <c r="C15" s="344"/>
      <c r="D15" s="199"/>
      <c r="E15" s="167"/>
      <c r="F15" s="212"/>
      <c r="G15" s="295"/>
      <c r="H15" s="723"/>
    </row>
    <row r="16" spans="1:8" customFormat="1" ht="15" customHeight="1">
      <c r="A16" s="334">
        <f>MAX(A$1:A13)+1</f>
        <v>3</v>
      </c>
      <c r="B16" s="328"/>
      <c r="C16" s="725" t="s">
        <v>505</v>
      </c>
      <c r="D16" s="196"/>
      <c r="E16" s="251" t="s">
        <v>506</v>
      </c>
      <c r="F16" s="264"/>
      <c r="G16" s="286" t="s">
        <v>36</v>
      </c>
      <c r="H16" s="540">
        <v>264</v>
      </c>
    </row>
    <row r="17" spans="1:9" customFormat="1" ht="25.5" customHeight="1">
      <c r="A17" s="290"/>
      <c r="B17" s="328"/>
      <c r="C17" s="344"/>
      <c r="D17" s="199" t="s">
        <v>2431</v>
      </c>
      <c r="E17" s="167" t="s">
        <v>2432</v>
      </c>
      <c r="F17" s="212"/>
      <c r="G17" s="295" t="s">
        <v>36</v>
      </c>
      <c r="H17" s="541">
        <v>264</v>
      </c>
    </row>
    <row r="18" spans="1:9" customFormat="1" ht="15">
      <c r="A18" s="290"/>
      <c r="B18" s="328"/>
      <c r="C18" s="344"/>
      <c r="D18" s="199"/>
      <c r="E18" s="167" t="s">
        <v>2433</v>
      </c>
      <c r="F18" s="212"/>
      <c r="G18" s="295"/>
      <c r="H18" s="723"/>
    </row>
    <row r="19" spans="1:9" customFormat="1" ht="15">
      <c r="A19" s="290"/>
      <c r="B19" s="328"/>
      <c r="C19" s="344"/>
      <c r="D19" s="199"/>
      <c r="E19" s="167" t="s">
        <v>2434</v>
      </c>
      <c r="F19" s="212">
        <v>40</v>
      </c>
      <c r="G19" s="295"/>
      <c r="H19" s="723"/>
    </row>
    <row r="20" spans="1:9" customFormat="1" ht="15">
      <c r="A20" s="290"/>
      <c r="B20" s="328"/>
      <c r="C20" s="344"/>
      <c r="D20" s="199"/>
      <c r="E20" s="167" t="s">
        <v>2435</v>
      </c>
      <c r="F20" s="212">
        <v>24</v>
      </c>
      <c r="G20" s="295"/>
      <c r="H20" s="723"/>
    </row>
    <row r="21" spans="1:9" customFormat="1" ht="15">
      <c r="A21" s="290"/>
      <c r="B21" s="328"/>
      <c r="C21" s="344"/>
      <c r="D21" s="199"/>
      <c r="E21" s="167" t="s">
        <v>2436</v>
      </c>
      <c r="F21" s="213">
        <v>200</v>
      </c>
      <c r="G21" s="295"/>
      <c r="H21" s="723"/>
    </row>
    <row r="22" spans="1:9" customFormat="1" ht="15">
      <c r="A22" s="290"/>
      <c r="B22" s="328"/>
      <c r="C22" s="344"/>
      <c r="D22" s="199"/>
      <c r="E22" s="167"/>
      <c r="F22" s="212">
        <f>SUM(F19:F21)</f>
        <v>264</v>
      </c>
      <c r="G22" s="295"/>
      <c r="H22" s="723"/>
    </row>
    <row r="23" spans="1:9" customFormat="1" ht="15">
      <c r="A23" s="290"/>
      <c r="B23" s="328"/>
      <c r="C23" s="344"/>
      <c r="D23" s="199"/>
      <c r="E23" s="167"/>
      <c r="F23" s="212"/>
      <c r="G23" s="295"/>
      <c r="H23" s="723"/>
    </row>
    <row r="24" spans="1:9" customFormat="1" ht="25.5">
      <c r="A24" s="334">
        <f>MAX(A$1:A21)+1</f>
        <v>4</v>
      </c>
      <c r="B24" s="328"/>
      <c r="C24" s="978">
        <v>91282401</v>
      </c>
      <c r="D24" s="979"/>
      <c r="E24" s="980" t="s">
        <v>1740</v>
      </c>
      <c r="F24" s="981"/>
      <c r="G24" s="982" t="s">
        <v>145</v>
      </c>
      <c r="H24" s="722">
        <v>24</v>
      </c>
    </row>
    <row r="25" spans="1:9" customFormat="1" ht="15">
      <c r="A25" s="290"/>
      <c r="B25" s="328"/>
      <c r="C25" s="344"/>
      <c r="D25" s="199"/>
      <c r="E25" s="167" t="s">
        <v>1741</v>
      </c>
      <c r="F25" s="212">
        <v>24</v>
      </c>
      <c r="G25" s="295"/>
      <c r="H25" s="723"/>
    </row>
    <row r="26" spans="1:9" customFormat="1" ht="15">
      <c r="A26" s="290"/>
      <c r="B26" s="328"/>
      <c r="C26" s="344"/>
      <c r="D26" s="199"/>
      <c r="E26" s="167"/>
      <c r="F26" s="212"/>
      <c r="G26" s="295"/>
      <c r="H26" s="723"/>
    </row>
    <row r="27" spans="1:9" customFormat="1" ht="25.5">
      <c r="A27" s="290"/>
      <c r="B27" s="24" t="s">
        <v>1749</v>
      </c>
      <c r="C27" s="24"/>
      <c r="D27" s="24"/>
      <c r="E27" s="726" t="s">
        <v>1750</v>
      </c>
      <c r="F27" s="983"/>
      <c r="G27" s="295"/>
      <c r="H27" s="541"/>
    </row>
    <row r="28" spans="1:9" customFormat="1" ht="15">
      <c r="A28" s="290"/>
      <c r="B28" s="328"/>
      <c r="C28" s="198"/>
      <c r="D28" s="199"/>
      <c r="E28" s="360"/>
      <c r="F28" s="983"/>
      <c r="G28" s="295"/>
      <c r="H28" s="541"/>
    </row>
    <row r="29" spans="1:9" customFormat="1" ht="15">
      <c r="A29" s="334">
        <f>MAX(A$1:A26)+1</f>
        <v>5</v>
      </c>
      <c r="B29" s="328"/>
      <c r="C29" s="725" t="s">
        <v>1751</v>
      </c>
      <c r="D29" s="196"/>
      <c r="E29" s="251" t="s">
        <v>1752</v>
      </c>
      <c r="F29" s="264"/>
      <c r="G29" s="286" t="s">
        <v>33</v>
      </c>
      <c r="H29" s="722">
        <v>1</v>
      </c>
      <c r="I29" s="410"/>
    </row>
    <row r="30" spans="1:9" customFormat="1" ht="15" customHeight="1">
      <c r="A30" s="290"/>
      <c r="B30" s="328"/>
      <c r="C30" s="344"/>
      <c r="D30" s="199" t="s">
        <v>1753</v>
      </c>
      <c r="E30" s="167" t="s">
        <v>1754</v>
      </c>
      <c r="F30" s="212"/>
      <c r="G30" s="295" t="s">
        <v>33</v>
      </c>
      <c r="H30" s="723">
        <v>1</v>
      </c>
      <c r="I30" s="410"/>
    </row>
    <row r="31" spans="1:9" customFormat="1" ht="15">
      <c r="A31" s="290"/>
      <c r="B31" s="328"/>
      <c r="C31" s="344"/>
      <c r="D31" s="199"/>
      <c r="E31" s="167" t="s">
        <v>2437</v>
      </c>
      <c r="F31" s="212">
        <v>1</v>
      </c>
      <c r="G31" s="295"/>
      <c r="H31" s="723"/>
      <c r="I31" s="410"/>
    </row>
    <row r="32" spans="1:9" customFormat="1" ht="15.75" thickBot="1">
      <c r="A32" s="471"/>
      <c r="B32" s="472"/>
      <c r="C32" s="984"/>
      <c r="D32" s="392"/>
      <c r="E32" s="204"/>
      <c r="F32" s="985"/>
      <c r="G32" s="525"/>
      <c r="H32" s="986"/>
      <c r="I32" s="410"/>
    </row>
    <row r="33" spans="1:8" customFormat="1" ht="24.75" customHeight="1">
      <c r="A33" s="526"/>
      <c r="B33" s="527"/>
      <c r="C33" s="344"/>
      <c r="D33" s="519"/>
      <c r="E33" s="129"/>
      <c r="F33" s="131"/>
      <c r="G33" s="326"/>
      <c r="H33" s="528"/>
    </row>
  </sheetData>
  <sheetProtection algorithmName="SHA-512" hashValue="XI3JRzsF05UBxP7fHJgM5GTdI/1fZRBfgeAdBlMDR3bqmkaRwJq8Hm8foH5voJ0i/4X32mya8xPo9Wp3ADwFuQ==" saltValue="u1n+Tz1Yk1vJlZduRw8FY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C331F-0597-4F22-B073-FC63DB5A3AA4}">
  <sheetPr codeName="Hárok22"/>
  <dimension ref="A1:I7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987" customWidth="1"/>
    <col min="6" max="6" width="9.85546875" style="498" customWidth="1"/>
    <col min="7" max="7" width="5.7109375" style="501" customWidth="1"/>
    <col min="8" max="8" width="10.140625" style="500" customWidth="1"/>
    <col min="9" max="241" width="9.140625" style="410"/>
    <col min="242" max="242" width="4.7109375" style="410" customWidth="1"/>
    <col min="243" max="243" width="9.28515625" style="410" customWidth="1"/>
    <col min="244" max="244" width="9" style="410" customWidth="1"/>
    <col min="245" max="245" width="10.85546875" style="410" customWidth="1"/>
    <col min="246" max="246" width="52.7109375" style="410" customWidth="1"/>
    <col min="247" max="247" width="9.85546875" style="410" customWidth="1"/>
    <col min="248" max="248" width="5.7109375" style="410" customWidth="1"/>
    <col min="249" max="249" width="10.140625" style="410" customWidth="1"/>
    <col min="250" max="251" width="10.7109375" style="410" customWidth="1"/>
    <col min="252" max="252" width="10.5703125" style="410" customWidth="1"/>
    <col min="253" max="497" width="9.140625" style="410"/>
    <col min="498" max="498" width="4.7109375" style="410" customWidth="1"/>
    <col min="499" max="499" width="9.28515625" style="410" customWidth="1"/>
    <col min="500" max="500" width="9" style="410" customWidth="1"/>
    <col min="501" max="501" width="10.85546875" style="410" customWidth="1"/>
    <col min="502" max="502" width="52.7109375" style="410" customWidth="1"/>
    <col min="503" max="503" width="9.85546875" style="410" customWidth="1"/>
    <col min="504" max="504" width="5.7109375" style="410" customWidth="1"/>
    <col min="505" max="505" width="10.140625" style="410" customWidth="1"/>
    <col min="506" max="507" width="10.7109375" style="410" customWidth="1"/>
    <col min="508" max="508" width="10.5703125" style="410" customWidth="1"/>
    <col min="509" max="753" width="9.140625" style="410"/>
    <col min="754" max="754" width="4.7109375" style="410" customWidth="1"/>
    <col min="755" max="755" width="9.28515625" style="410" customWidth="1"/>
    <col min="756" max="756" width="9" style="410" customWidth="1"/>
    <col min="757" max="757" width="10.85546875" style="410" customWidth="1"/>
    <col min="758" max="758" width="52.7109375" style="410" customWidth="1"/>
    <col min="759" max="759" width="9.85546875" style="410" customWidth="1"/>
    <col min="760" max="760" width="5.7109375" style="410" customWidth="1"/>
    <col min="761" max="761" width="10.140625" style="410" customWidth="1"/>
    <col min="762" max="763" width="10.7109375" style="410" customWidth="1"/>
    <col min="764" max="764" width="10.5703125" style="410" customWidth="1"/>
    <col min="765" max="1009" width="9.140625" style="410"/>
    <col min="1010" max="1010" width="4.7109375" style="410" customWidth="1"/>
    <col min="1011" max="1011" width="9.28515625" style="410" customWidth="1"/>
    <col min="1012" max="1012" width="9" style="410" customWidth="1"/>
    <col min="1013" max="1013" width="10.85546875" style="410" customWidth="1"/>
    <col min="1014" max="1014" width="52.7109375" style="410" customWidth="1"/>
    <col min="1015" max="1015" width="9.85546875" style="410" customWidth="1"/>
    <col min="1016" max="1016" width="5.7109375" style="410" customWidth="1"/>
    <col min="1017" max="1017" width="10.140625" style="410" customWidth="1"/>
    <col min="1018" max="1019" width="10.7109375" style="410" customWidth="1"/>
    <col min="1020" max="1020" width="10.5703125" style="410" customWidth="1"/>
    <col min="1021" max="1265" width="9.140625" style="410"/>
    <col min="1266" max="1266" width="4.7109375" style="410" customWidth="1"/>
    <col min="1267" max="1267" width="9.28515625" style="410" customWidth="1"/>
    <col min="1268" max="1268" width="9" style="410" customWidth="1"/>
    <col min="1269" max="1269" width="10.85546875" style="410" customWidth="1"/>
    <col min="1270" max="1270" width="52.7109375" style="410" customWidth="1"/>
    <col min="1271" max="1271" width="9.85546875" style="410" customWidth="1"/>
    <col min="1272" max="1272" width="5.7109375" style="410" customWidth="1"/>
    <col min="1273" max="1273" width="10.140625" style="410" customWidth="1"/>
    <col min="1274" max="1275" width="10.7109375" style="410" customWidth="1"/>
    <col min="1276" max="1276" width="10.5703125" style="410" customWidth="1"/>
    <col min="1277" max="1521" width="9.140625" style="410"/>
    <col min="1522" max="1522" width="4.7109375" style="410" customWidth="1"/>
    <col min="1523" max="1523" width="9.28515625" style="410" customWidth="1"/>
    <col min="1524" max="1524" width="9" style="410" customWidth="1"/>
    <col min="1525" max="1525" width="10.85546875" style="410" customWidth="1"/>
    <col min="1526" max="1526" width="52.7109375" style="410" customWidth="1"/>
    <col min="1527" max="1527" width="9.85546875" style="410" customWidth="1"/>
    <col min="1528" max="1528" width="5.7109375" style="410" customWidth="1"/>
    <col min="1529" max="1529" width="10.140625" style="410" customWidth="1"/>
    <col min="1530" max="1531" width="10.7109375" style="410" customWidth="1"/>
    <col min="1532" max="1532" width="10.5703125" style="410" customWidth="1"/>
    <col min="1533" max="1777" width="9.140625" style="410"/>
    <col min="1778" max="1778" width="4.7109375" style="410" customWidth="1"/>
    <col min="1779" max="1779" width="9.28515625" style="410" customWidth="1"/>
    <col min="1780" max="1780" width="9" style="410" customWidth="1"/>
    <col min="1781" max="1781" width="10.85546875" style="410" customWidth="1"/>
    <col min="1782" max="1782" width="52.7109375" style="410" customWidth="1"/>
    <col min="1783" max="1783" width="9.85546875" style="410" customWidth="1"/>
    <col min="1784" max="1784" width="5.7109375" style="410" customWidth="1"/>
    <col min="1785" max="1785" width="10.140625" style="410" customWidth="1"/>
    <col min="1786" max="1787" width="10.7109375" style="410" customWidth="1"/>
    <col min="1788" max="1788" width="10.5703125" style="410" customWidth="1"/>
    <col min="1789" max="2033" width="9.140625" style="410"/>
    <col min="2034" max="2034" width="4.7109375" style="410" customWidth="1"/>
    <col min="2035" max="2035" width="9.28515625" style="410" customWidth="1"/>
    <col min="2036" max="2036" width="9" style="410" customWidth="1"/>
    <col min="2037" max="2037" width="10.85546875" style="410" customWidth="1"/>
    <col min="2038" max="2038" width="52.7109375" style="410" customWidth="1"/>
    <col min="2039" max="2039" width="9.85546875" style="410" customWidth="1"/>
    <col min="2040" max="2040" width="5.7109375" style="410" customWidth="1"/>
    <col min="2041" max="2041" width="10.140625" style="410" customWidth="1"/>
    <col min="2042" max="2043" width="10.7109375" style="410" customWidth="1"/>
    <col min="2044" max="2044" width="10.5703125" style="410" customWidth="1"/>
    <col min="2045" max="2289" width="9.140625" style="410"/>
    <col min="2290" max="2290" width="4.7109375" style="410" customWidth="1"/>
    <col min="2291" max="2291" width="9.28515625" style="410" customWidth="1"/>
    <col min="2292" max="2292" width="9" style="410" customWidth="1"/>
    <col min="2293" max="2293" width="10.85546875" style="410" customWidth="1"/>
    <col min="2294" max="2294" width="52.7109375" style="410" customWidth="1"/>
    <col min="2295" max="2295" width="9.85546875" style="410" customWidth="1"/>
    <col min="2296" max="2296" width="5.7109375" style="410" customWidth="1"/>
    <col min="2297" max="2297" width="10.140625" style="410" customWidth="1"/>
    <col min="2298" max="2299" width="10.7109375" style="410" customWidth="1"/>
    <col min="2300" max="2300" width="10.5703125" style="410" customWidth="1"/>
    <col min="2301" max="2545" width="9.140625" style="410"/>
    <col min="2546" max="2546" width="4.7109375" style="410" customWidth="1"/>
    <col min="2547" max="2547" width="9.28515625" style="410" customWidth="1"/>
    <col min="2548" max="2548" width="9" style="410" customWidth="1"/>
    <col min="2549" max="2549" width="10.85546875" style="410" customWidth="1"/>
    <col min="2550" max="2550" width="52.7109375" style="410" customWidth="1"/>
    <col min="2551" max="2551" width="9.85546875" style="410" customWidth="1"/>
    <col min="2552" max="2552" width="5.7109375" style="410" customWidth="1"/>
    <col min="2553" max="2553" width="10.140625" style="410" customWidth="1"/>
    <col min="2554" max="2555" width="10.7109375" style="410" customWidth="1"/>
    <col min="2556" max="2556" width="10.5703125" style="410" customWidth="1"/>
    <col min="2557" max="2801" width="9.140625" style="410"/>
    <col min="2802" max="2802" width="4.7109375" style="410" customWidth="1"/>
    <col min="2803" max="2803" width="9.28515625" style="410" customWidth="1"/>
    <col min="2804" max="2804" width="9" style="410" customWidth="1"/>
    <col min="2805" max="2805" width="10.85546875" style="410" customWidth="1"/>
    <col min="2806" max="2806" width="52.7109375" style="410" customWidth="1"/>
    <col min="2807" max="2807" width="9.85546875" style="410" customWidth="1"/>
    <col min="2808" max="2808" width="5.7109375" style="410" customWidth="1"/>
    <col min="2809" max="2809" width="10.140625" style="410" customWidth="1"/>
    <col min="2810" max="2811" width="10.7109375" style="410" customWidth="1"/>
    <col min="2812" max="2812" width="10.5703125" style="410" customWidth="1"/>
    <col min="2813" max="3057" width="9.140625" style="410"/>
    <col min="3058" max="3058" width="4.7109375" style="410" customWidth="1"/>
    <col min="3059" max="3059" width="9.28515625" style="410" customWidth="1"/>
    <col min="3060" max="3060" width="9" style="410" customWidth="1"/>
    <col min="3061" max="3061" width="10.85546875" style="410" customWidth="1"/>
    <col min="3062" max="3062" width="52.7109375" style="410" customWidth="1"/>
    <col min="3063" max="3063" width="9.85546875" style="410" customWidth="1"/>
    <col min="3064" max="3064" width="5.7109375" style="410" customWidth="1"/>
    <col min="3065" max="3065" width="10.140625" style="410" customWidth="1"/>
    <col min="3066" max="3067" width="10.7109375" style="410" customWidth="1"/>
    <col min="3068" max="3068" width="10.5703125" style="410" customWidth="1"/>
    <col min="3069" max="3313" width="9.140625" style="410"/>
    <col min="3314" max="3314" width="4.7109375" style="410" customWidth="1"/>
    <col min="3315" max="3315" width="9.28515625" style="410" customWidth="1"/>
    <col min="3316" max="3316" width="9" style="410" customWidth="1"/>
    <col min="3317" max="3317" width="10.85546875" style="410" customWidth="1"/>
    <col min="3318" max="3318" width="52.7109375" style="410" customWidth="1"/>
    <col min="3319" max="3319" width="9.85546875" style="410" customWidth="1"/>
    <col min="3320" max="3320" width="5.7109375" style="410" customWidth="1"/>
    <col min="3321" max="3321" width="10.140625" style="410" customWidth="1"/>
    <col min="3322" max="3323" width="10.7109375" style="410" customWidth="1"/>
    <col min="3324" max="3324" width="10.5703125" style="410" customWidth="1"/>
    <col min="3325" max="3569" width="9.140625" style="410"/>
    <col min="3570" max="3570" width="4.7109375" style="410" customWidth="1"/>
    <col min="3571" max="3571" width="9.28515625" style="410" customWidth="1"/>
    <col min="3572" max="3572" width="9" style="410" customWidth="1"/>
    <col min="3573" max="3573" width="10.85546875" style="410" customWidth="1"/>
    <col min="3574" max="3574" width="52.7109375" style="410" customWidth="1"/>
    <col min="3575" max="3575" width="9.85546875" style="410" customWidth="1"/>
    <col min="3576" max="3576" width="5.7109375" style="410" customWidth="1"/>
    <col min="3577" max="3577" width="10.140625" style="410" customWidth="1"/>
    <col min="3578" max="3579" width="10.7109375" style="410" customWidth="1"/>
    <col min="3580" max="3580" width="10.5703125" style="410" customWidth="1"/>
    <col min="3581" max="3825" width="9.140625" style="410"/>
    <col min="3826" max="3826" width="4.7109375" style="410" customWidth="1"/>
    <col min="3827" max="3827" width="9.28515625" style="410" customWidth="1"/>
    <col min="3828" max="3828" width="9" style="410" customWidth="1"/>
    <col min="3829" max="3829" width="10.85546875" style="410" customWidth="1"/>
    <col min="3830" max="3830" width="52.7109375" style="410" customWidth="1"/>
    <col min="3831" max="3831" width="9.85546875" style="410" customWidth="1"/>
    <col min="3832" max="3832" width="5.7109375" style="410" customWidth="1"/>
    <col min="3833" max="3833" width="10.140625" style="410" customWidth="1"/>
    <col min="3834" max="3835" width="10.7109375" style="410" customWidth="1"/>
    <col min="3836" max="3836" width="10.5703125" style="410" customWidth="1"/>
    <col min="3837" max="4081" width="9.140625" style="410"/>
    <col min="4082" max="4082" width="4.7109375" style="410" customWidth="1"/>
    <col min="4083" max="4083" width="9.28515625" style="410" customWidth="1"/>
    <col min="4084" max="4084" width="9" style="410" customWidth="1"/>
    <col min="4085" max="4085" width="10.85546875" style="410" customWidth="1"/>
    <col min="4086" max="4086" width="52.7109375" style="410" customWidth="1"/>
    <col min="4087" max="4087" width="9.85546875" style="410" customWidth="1"/>
    <col min="4088" max="4088" width="5.7109375" style="410" customWidth="1"/>
    <col min="4089" max="4089" width="10.140625" style="410" customWidth="1"/>
    <col min="4090" max="4091" width="10.7109375" style="410" customWidth="1"/>
    <col min="4092" max="4092" width="10.5703125" style="410" customWidth="1"/>
    <col min="4093" max="4337" width="9.140625" style="410"/>
    <col min="4338" max="4338" width="4.7109375" style="410" customWidth="1"/>
    <col min="4339" max="4339" width="9.28515625" style="410" customWidth="1"/>
    <col min="4340" max="4340" width="9" style="410" customWidth="1"/>
    <col min="4341" max="4341" width="10.85546875" style="410" customWidth="1"/>
    <col min="4342" max="4342" width="52.7109375" style="410" customWidth="1"/>
    <col min="4343" max="4343" width="9.85546875" style="410" customWidth="1"/>
    <col min="4344" max="4344" width="5.7109375" style="410" customWidth="1"/>
    <col min="4345" max="4345" width="10.140625" style="410" customWidth="1"/>
    <col min="4346" max="4347" width="10.7109375" style="410" customWidth="1"/>
    <col min="4348" max="4348" width="10.5703125" style="410" customWidth="1"/>
    <col min="4349" max="4593" width="9.140625" style="410"/>
    <col min="4594" max="4594" width="4.7109375" style="410" customWidth="1"/>
    <col min="4595" max="4595" width="9.28515625" style="410" customWidth="1"/>
    <col min="4596" max="4596" width="9" style="410" customWidth="1"/>
    <col min="4597" max="4597" width="10.85546875" style="410" customWidth="1"/>
    <col min="4598" max="4598" width="52.7109375" style="410" customWidth="1"/>
    <col min="4599" max="4599" width="9.85546875" style="410" customWidth="1"/>
    <col min="4600" max="4600" width="5.7109375" style="410" customWidth="1"/>
    <col min="4601" max="4601" width="10.140625" style="410" customWidth="1"/>
    <col min="4602" max="4603" width="10.7109375" style="410" customWidth="1"/>
    <col min="4604" max="4604" width="10.5703125" style="410" customWidth="1"/>
    <col min="4605" max="4849" width="9.140625" style="410"/>
    <col min="4850" max="4850" width="4.7109375" style="410" customWidth="1"/>
    <col min="4851" max="4851" width="9.28515625" style="410" customWidth="1"/>
    <col min="4852" max="4852" width="9" style="410" customWidth="1"/>
    <col min="4853" max="4853" width="10.85546875" style="410" customWidth="1"/>
    <col min="4854" max="4854" width="52.7109375" style="410" customWidth="1"/>
    <col min="4855" max="4855" width="9.85546875" style="410" customWidth="1"/>
    <col min="4856" max="4856" width="5.7109375" style="410" customWidth="1"/>
    <col min="4857" max="4857" width="10.140625" style="410" customWidth="1"/>
    <col min="4858" max="4859" width="10.7109375" style="410" customWidth="1"/>
    <col min="4860" max="4860" width="10.5703125" style="410" customWidth="1"/>
    <col min="4861" max="5105" width="9.140625" style="410"/>
    <col min="5106" max="5106" width="4.7109375" style="410" customWidth="1"/>
    <col min="5107" max="5107" width="9.28515625" style="410" customWidth="1"/>
    <col min="5108" max="5108" width="9" style="410" customWidth="1"/>
    <col min="5109" max="5109" width="10.85546875" style="410" customWidth="1"/>
    <col min="5110" max="5110" width="52.7109375" style="410" customWidth="1"/>
    <col min="5111" max="5111" width="9.85546875" style="410" customWidth="1"/>
    <col min="5112" max="5112" width="5.7109375" style="410" customWidth="1"/>
    <col min="5113" max="5113" width="10.140625" style="410" customWidth="1"/>
    <col min="5114" max="5115" width="10.7109375" style="410" customWidth="1"/>
    <col min="5116" max="5116" width="10.5703125" style="410" customWidth="1"/>
    <col min="5117" max="5361" width="9.140625" style="410"/>
    <col min="5362" max="5362" width="4.7109375" style="410" customWidth="1"/>
    <col min="5363" max="5363" width="9.28515625" style="410" customWidth="1"/>
    <col min="5364" max="5364" width="9" style="410" customWidth="1"/>
    <col min="5365" max="5365" width="10.85546875" style="410" customWidth="1"/>
    <col min="5366" max="5366" width="52.7109375" style="410" customWidth="1"/>
    <col min="5367" max="5367" width="9.85546875" style="410" customWidth="1"/>
    <col min="5368" max="5368" width="5.7109375" style="410" customWidth="1"/>
    <col min="5369" max="5369" width="10.140625" style="410" customWidth="1"/>
    <col min="5370" max="5371" width="10.7109375" style="410" customWidth="1"/>
    <col min="5372" max="5372" width="10.5703125" style="410" customWidth="1"/>
    <col min="5373" max="5617" width="9.140625" style="410"/>
    <col min="5618" max="5618" width="4.7109375" style="410" customWidth="1"/>
    <col min="5619" max="5619" width="9.28515625" style="410" customWidth="1"/>
    <col min="5620" max="5620" width="9" style="410" customWidth="1"/>
    <col min="5621" max="5621" width="10.85546875" style="410" customWidth="1"/>
    <col min="5622" max="5622" width="52.7109375" style="410" customWidth="1"/>
    <col min="5623" max="5623" width="9.85546875" style="410" customWidth="1"/>
    <col min="5624" max="5624" width="5.7109375" style="410" customWidth="1"/>
    <col min="5625" max="5625" width="10.140625" style="410" customWidth="1"/>
    <col min="5626" max="5627" width="10.7109375" style="410" customWidth="1"/>
    <col min="5628" max="5628" width="10.5703125" style="410" customWidth="1"/>
    <col min="5629" max="5873" width="9.140625" style="410"/>
    <col min="5874" max="5874" width="4.7109375" style="410" customWidth="1"/>
    <col min="5875" max="5875" width="9.28515625" style="410" customWidth="1"/>
    <col min="5876" max="5876" width="9" style="410" customWidth="1"/>
    <col min="5877" max="5877" width="10.85546875" style="410" customWidth="1"/>
    <col min="5878" max="5878" width="52.7109375" style="410" customWidth="1"/>
    <col min="5879" max="5879" width="9.85546875" style="410" customWidth="1"/>
    <col min="5880" max="5880" width="5.7109375" style="410" customWidth="1"/>
    <col min="5881" max="5881" width="10.140625" style="410" customWidth="1"/>
    <col min="5882" max="5883" width="10.7109375" style="410" customWidth="1"/>
    <col min="5884" max="5884" width="10.5703125" style="410" customWidth="1"/>
    <col min="5885" max="6129" width="9.140625" style="410"/>
    <col min="6130" max="6130" width="4.7109375" style="410" customWidth="1"/>
    <col min="6131" max="6131" width="9.28515625" style="410" customWidth="1"/>
    <col min="6132" max="6132" width="9" style="410" customWidth="1"/>
    <col min="6133" max="6133" width="10.85546875" style="410" customWidth="1"/>
    <col min="6134" max="6134" width="52.7109375" style="410" customWidth="1"/>
    <col min="6135" max="6135" width="9.85546875" style="410" customWidth="1"/>
    <col min="6136" max="6136" width="5.7109375" style="410" customWidth="1"/>
    <col min="6137" max="6137" width="10.140625" style="410" customWidth="1"/>
    <col min="6138" max="6139" width="10.7109375" style="410" customWidth="1"/>
    <col min="6140" max="6140" width="10.5703125" style="410" customWidth="1"/>
    <col min="6141" max="6385" width="9.140625" style="410"/>
    <col min="6386" max="6386" width="4.7109375" style="410" customWidth="1"/>
    <col min="6387" max="6387" width="9.28515625" style="410" customWidth="1"/>
    <col min="6388" max="6388" width="9" style="410" customWidth="1"/>
    <col min="6389" max="6389" width="10.85546875" style="410" customWidth="1"/>
    <col min="6390" max="6390" width="52.7109375" style="410" customWidth="1"/>
    <col min="6391" max="6391" width="9.85546875" style="410" customWidth="1"/>
    <col min="6392" max="6392" width="5.7109375" style="410" customWidth="1"/>
    <col min="6393" max="6393" width="10.140625" style="410" customWidth="1"/>
    <col min="6394" max="6395" width="10.7109375" style="410" customWidth="1"/>
    <col min="6396" max="6396" width="10.5703125" style="410" customWidth="1"/>
    <col min="6397" max="6641" width="9.140625" style="410"/>
    <col min="6642" max="6642" width="4.7109375" style="410" customWidth="1"/>
    <col min="6643" max="6643" width="9.28515625" style="410" customWidth="1"/>
    <col min="6644" max="6644" width="9" style="410" customWidth="1"/>
    <col min="6645" max="6645" width="10.85546875" style="410" customWidth="1"/>
    <col min="6646" max="6646" width="52.7109375" style="410" customWidth="1"/>
    <col min="6647" max="6647" width="9.85546875" style="410" customWidth="1"/>
    <col min="6648" max="6648" width="5.7109375" style="410" customWidth="1"/>
    <col min="6649" max="6649" width="10.140625" style="410" customWidth="1"/>
    <col min="6650" max="6651" width="10.7109375" style="410" customWidth="1"/>
    <col min="6652" max="6652" width="10.5703125" style="410" customWidth="1"/>
    <col min="6653" max="6897" width="9.140625" style="410"/>
    <col min="6898" max="6898" width="4.7109375" style="410" customWidth="1"/>
    <col min="6899" max="6899" width="9.28515625" style="410" customWidth="1"/>
    <col min="6900" max="6900" width="9" style="410" customWidth="1"/>
    <col min="6901" max="6901" width="10.85546875" style="410" customWidth="1"/>
    <col min="6902" max="6902" width="52.7109375" style="410" customWidth="1"/>
    <col min="6903" max="6903" width="9.85546875" style="410" customWidth="1"/>
    <col min="6904" max="6904" width="5.7109375" style="410" customWidth="1"/>
    <col min="6905" max="6905" width="10.140625" style="410" customWidth="1"/>
    <col min="6906" max="6907" width="10.7109375" style="410" customWidth="1"/>
    <col min="6908" max="6908" width="10.5703125" style="410" customWidth="1"/>
    <col min="6909" max="7153" width="9.140625" style="410"/>
    <col min="7154" max="7154" width="4.7109375" style="410" customWidth="1"/>
    <col min="7155" max="7155" width="9.28515625" style="410" customWidth="1"/>
    <col min="7156" max="7156" width="9" style="410" customWidth="1"/>
    <col min="7157" max="7157" width="10.85546875" style="410" customWidth="1"/>
    <col min="7158" max="7158" width="52.7109375" style="410" customWidth="1"/>
    <col min="7159" max="7159" width="9.85546875" style="410" customWidth="1"/>
    <col min="7160" max="7160" width="5.7109375" style="410" customWidth="1"/>
    <col min="7161" max="7161" width="10.140625" style="410" customWidth="1"/>
    <col min="7162" max="7163" width="10.7109375" style="410" customWidth="1"/>
    <col min="7164" max="7164" width="10.5703125" style="410" customWidth="1"/>
    <col min="7165" max="7409" width="9.140625" style="410"/>
    <col min="7410" max="7410" width="4.7109375" style="410" customWidth="1"/>
    <col min="7411" max="7411" width="9.28515625" style="410" customWidth="1"/>
    <col min="7412" max="7412" width="9" style="410" customWidth="1"/>
    <col min="7413" max="7413" width="10.85546875" style="410" customWidth="1"/>
    <col min="7414" max="7414" width="52.7109375" style="410" customWidth="1"/>
    <col min="7415" max="7415" width="9.85546875" style="410" customWidth="1"/>
    <col min="7416" max="7416" width="5.7109375" style="410" customWidth="1"/>
    <col min="7417" max="7417" width="10.140625" style="410" customWidth="1"/>
    <col min="7418" max="7419" width="10.7109375" style="410" customWidth="1"/>
    <col min="7420" max="7420" width="10.5703125" style="410" customWidth="1"/>
    <col min="7421" max="7665" width="9.140625" style="410"/>
    <col min="7666" max="7666" width="4.7109375" style="410" customWidth="1"/>
    <col min="7667" max="7667" width="9.28515625" style="410" customWidth="1"/>
    <col min="7668" max="7668" width="9" style="410" customWidth="1"/>
    <col min="7669" max="7669" width="10.85546875" style="410" customWidth="1"/>
    <col min="7670" max="7670" width="52.7109375" style="410" customWidth="1"/>
    <col min="7671" max="7671" width="9.85546875" style="410" customWidth="1"/>
    <col min="7672" max="7672" width="5.7109375" style="410" customWidth="1"/>
    <col min="7673" max="7673" width="10.140625" style="410" customWidth="1"/>
    <col min="7674" max="7675" width="10.7109375" style="410" customWidth="1"/>
    <col min="7676" max="7676" width="10.5703125" style="410" customWidth="1"/>
    <col min="7677" max="7921" width="9.140625" style="410"/>
    <col min="7922" max="7922" width="4.7109375" style="410" customWidth="1"/>
    <col min="7923" max="7923" width="9.28515625" style="410" customWidth="1"/>
    <col min="7924" max="7924" width="9" style="410" customWidth="1"/>
    <col min="7925" max="7925" width="10.85546875" style="410" customWidth="1"/>
    <col min="7926" max="7926" width="52.7109375" style="410" customWidth="1"/>
    <col min="7927" max="7927" width="9.85546875" style="410" customWidth="1"/>
    <col min="7928" max="7928" width="5.7109375" style="410" customWidth="1"/>
    <col min="7929" max="7929" width="10.140625" style="410" customWidth="1"/>
    <col min="7930" max="7931" width="10.7109375" style="410" customWidth="1"/>
    <col min="7932" max="7932" width="10.5703125" style="410" customWidth="1"/>
    <col min="7933" max="8177" width="9.140625" style="410"/>
    <col min="8178" max="8178" width="4.7109375" style="410" customWidth="1"/>
    <col min="8179" max="8179" width="9.28515625" style="410" customWidth="1"/>
    <col min="8180" max="8180" width="9" style="410" customWidth="1"/>
    <col min="8181" max="8181" width="10.85546875" style="410" customWidth="1"/>
    <col min="8182" max="8182" width="52.7109375" style="410" customWidth="1"/>
    <col min="8183" max="8183" width="9.85546875" style="410" customWidth="1"/>
    <col min="8184" max="8184" width="5.7109375" style="410" customWidth="1"/>
    <col min="8185" max="8185" width="10.140625" style="410" customWidth="1"/>
    <col min="8186" max="8187" width="10.7109375" style="410" customWidth="1"/>
    <col min="8188" max="8188" width="10.5703125" style="410" customWidth="1"/>
    <col min="8189" max="8433" width="9.140625" style="410"/>
    <col min="8434" max="8434" width="4.7109375" style="410" customWidth="1"/>
    <col min="8435" max="8435" width="9.28515625" style="410" customWidth="1"/>
    <col min="8436" max="8436" width="9" style="410" customWidth="1"/>
    <col min="8437" max="8437" width="10.85546875" style="410" customWidth="1"/>
    <col min="8438" max="8438" width="52.7109375" style="410" customWidth="1"/>
    <col min="8439" max="8439" width="9.85546875" style="410" customWidth="1"/>
    <col min="8440" max="8440" width="5.7109375" style="410" customWidth="1"/>
    <col min="8441" max="8441" width="10.140625" style="410" customWidth="1"/>
    <col min="8442" max="8443" width="10.7109375" style="410" customWidth="1"/>
    <col min="8444" max="8444" width="10.5703125" style="410" customWidth="1"/>
    <col min="8445" max="8689" width="9.140625" style="410"/>
    <col min="8690" max="8690" width="4.7109375" style="410" customWidth="1"/>
    <col min="8691" max="8691" width="9.28515625" style="410" customWidth="1"/>
    <col min="8692" max="8692" width="9" style="410" customWidth="1"/>
    <col min="8693" max="8693" width="10.85546875" style="410" customWidth="1"/>
    <col min="8694" max="8694" width="52.7109375" style="410" customWidth="1"/>
    <col min="8695" max="8695" width="9.85546875" style="410" customWidth="1"/>
    <col min="8696" max="8696" width="5.7109375" style="410" customWidth="1"/>
    <col min="8697" max="8697" width="10.140625" style="410" customWidth="1"/>
    <col min="8698" max="8699" width="10.7109375" style="410" customWidth="1"/>
    <col min="8700" max="8700" width="10.5703125" style="410" customWidth="1"/>
    <col min="8701" max="8945" width="9.140625" style="410"/>
    <col min="8946" max="8946" width="4.7109375" style="410" customWidth="1"/>
    <col min="8947" max="8947" width="9.28515625" style="410" customWidth="1"/>
    <col min="8948" max="8948" width="9" style="410" customWidth="1"/>
    <col min="8949" max="8949" width="10.85546875" style="410" customWidth="1"/>
    <col min="8950" max="8950" width="52.7109375" style="410" customWidth="1"/>
    <col min="8951" max="8951" width="9.85546875" style="410" customWidth="1"/>
    <col min="8952" max="8952" width="5.7109375" style="410" customWidth="1"/>
    <col min="8953" max="8953" width="10.140625" style="410" customWidth="1"/>
    <col min="8954" max="8955" width="10.7109375" style="410" customWidth="1"/>
    <col min="8956" max="8956" width="10.5703125" style="410" customWidth="1"/>
    <col min="8957" max="9201" width="9.140625" style="410"/>
    <col min="9202" max="9202" width="4.7109375" style="410" customWidth="1"/>
    <col min="9203" max="9203" width="9.28515625" style="410" customWidth="1"/>
    <col min="9204" max="9204" width="9" style="410" customWidth="1"/>
    <col min="9205" max="9205" width="10.85546875" style="410" customWidth="1"/>
    <col min="9206" max="9206" width="52.7109375" style="410" customWidth="1"/>
    <col min="9207" max="9207" width="9.85546875" style="410" customWidth="1"/>
    <col min="9208" max="9208" width="5.7109375" style="410" customWidth="1"/>
    <col min="9209" max="9209" width="10.140625" style="410" customWidth="1"/>
    <col min="9210" max="9211" width="10.7109375" style="410" customWidth="1"/>
    <col min="9212" max="9212" width="10.5703125" style="410" customWidth="1"/>
    <col min="9213" max="9457" width="9.140625" style="410"/>
    <col min="9458" max="9458" width="4.7109375" style="410" customWidth="1"/>
    <col min="9459" max="9459" width="9.28515625" style="410" customWidth="1"/>
    <col min="9460" max="9460" width="9" style="410" customWidth="1"/>
    <col min="9461" max="9461" width="10.85546875" style="410" customWidth="1"/>
    <col min="9462" max="9462" width="52.7109375" style="410" customWidth="1"/>
    <col min="9463" max="9463" width="9.85546875" style="410" customWidth="1"/>
    <col min="9464" max="9464" width="5.7109375" style="410" customWidth="1"/>
    <col min="9465" max="9465" width="10.140625" style="410" customWidth="1"/>
    <col min="9466" max="9467" width="10.7109375" style="410" customWidth="1"/>
    <col min="9468" max="9468" width="10.5703125" style="410" customWidth="1"/>
    <col min="9469" max="9713" width="9.140625" style="410"/>
    <col min="9714" max="9714" width="4.7109375" style="410" customWidth="1"/>
    <col min="9715" max="9715" width="9.28515625" style="410" customWidth="1"/>
    <col min="9716" max="9716" width="9" style="410" customWidth="1"/>
    <col min="9717" max="9717" width="10.85546875" style="410" customWidth="1"/>
    <col min="9718" max="9718" width="52.7109375" style="410" customWidth="1"/>
    <col min="9719" max="9719" width="9.85546875" style="410" customWidth="1"/>
    <col min="9720" max="9720" width="5.7109375" style="410" customWidth="1"/>
    <col min="9721" max="9721" width="10.140625" style="410" customWidth="1"/>
    <col min="9722" max="9723" width="10.7109375" style="410" customWidth="1"/>
    <col min="9724" max="9724" width="10.5703125" style="410" customWidth="1"/>
    <col min="9725" max="9969" width="9.140625" style="410"/>
    <col min="9970" max="9970" width="4.7109375" style="410" customWidth="1"/>
    <col min="9971" max="9971" width="9.28515625" style="410" customWidth="1"/>
    <col min="9972" max="9972" width="9" style="410" customWidth="1"/>
    <col min="9973" max="9973" width="10.85546875" style="410" customWidth="1"/>
    <col min="9974" max="9974" width="52.7109375" style="410" customWidth="1"/>
    <col min="9975" max="9975" width="9.85546875" style="410" customWidth="1"/>
    <col min="9976" max="9976" width="5.7109375" style="410" customWidth="1"/>
    <col min="9977" max="9977" width="10.140625" style="410" customWidth="1"/>
    <col min="9978" max="9979" width="10.7109375" style="410" customWidth="1"/>
    <col min="9980" max="9980" width="10.5703125" style="410" customWidth="1"/>
    <col min="9981" max="10225" width="9.140625" style="410"/>
    <col min="10226" max="10226" width="4.7109375" style="410" customWidth="1"/>
    <col min="10227" max="10227" width="9.28515625" style="410" customWidth="1"/>
    <col min="10228" max="10228" width="9" style="410" customWidth="1"/>
    <col min="10229" max="10229" width="10.85546875" style="410" customWidth="1"/>
    <col min="10230" max="10230" width="52.7109375" style="410" customWidth="1"/>
    <col min="10231" max="10231" width="9.85546875" style="410" customWidth="1"/>
    <col min="10232" max="10232" width="5.7109375" style="410" customWidth="1"/>
    <col min="10233" max="10233" width="10.140625" style="410" customWidth="1"/>
    <col min="10234" max="10235" width="10.7109375" style="410" customWidth="1"/>
    <col min="10236" max="10236" width="10.5703125" style="410" customWidth="1"/>
    <col min="10237" max="10481" width="9.140625" style="410"/>
    <col min="10482" max="10482" width="4.7109375" style="410" customWidth="1"/>
    <col min="10483" max="10483" width="9.28515625" style="410" customWidth="1"/>
    <col min="10484" max="10484" width="9" style="410" customWidth="1"/>
    <col min="10485" max="10485" width="10.85546875" style="410" customWidth="1"/>
    <col min="10486" max="10486" width="52.7109375" style="410" customWidth="1"/>
    <col min="10487" max="10487" width="9.85546875" style="410" customWidth="1"/>
    <col min="10488" max="10488" width="5.7109375" style="410" customWidth="1"/>
    <col min="10489" max="10489" width="10.140625" style="410" customWidth="1"/>
    <col min="10490" max="10491" width="10.7109375" style="410" customWidth="1"/>
    <col min="10492" max="10492" width="10.5703125" style="410" customWidth="1"/>
    <col min="10493" max="10737" width="9.140625" style="410"/>
    <col min="10738" max="10738" width="4.7109375" style="410" customWidth="1"/>
    <col min="10739" max="10739" width="9.28515625" style="410" customWidth="1"/>
    <col min="10740" max="10740" width="9" style="410" customWidth="1"/>
    <col min="10741" max="10741" width="10.85546875" style="410" customWidth="1"/>
    <col min="10742" max="10742" width="52.7109375" style="410" customWidth="1"/>
    <col min="10743" max="10743" width="9.85546875" style="410" customWidth="1"/>
    <col min="10744" max="10744" width="5.7109375" style="410" customWidth="1"/>
    <col min="10745" max="10745" width="10.140625" style="410" customWidth="1"/>
    <col min="10746" max="10747" width="10.7109375" style="410" customWidth="1"/>
    <col min="10748" max="10748" width="10.5703125" style="410" customWidth="1"/>
    <col min="10749" max="10993" width="9.140625" style="410"/>
    <col min="10994" max="10994" width="4.7109375" style="410" customWidth="1"/>
    <col min="10995" max="10995" width="9.28515625" style="410" customWidth="1"/>
    <col min="10996" max="10996" width="9" style="410" customWidth="1"/>
    <col min="10997" max="10997" width="10.85546875" style="410" customWidth="1"/>
    <col min="10998" max="10998" width="52.7109375" style="410" customWidth="1"/>
    <col min="10999" max="10999" width="9.85546875" style="410" customWidth="1"/>
    <col min="11000" max="11000" width="5.7109375" style="410" customWidth="1"/>
    <col min="11001" max="11001" width="10.140625" style="410" customWidth="1"/>
    <col min="11002" max="11003" width="10.7109375" style="410" customWidth="1"/>
    <col min="11004" max="11004" width="10.5703125" style="410" customWidth="1"/>
    <col min="11005" max="11249" width="9.140625" style="410"/>
    <col min="11250" max="11250" width="4.7109375" style="410" customWidth="1"/>
    <col min="11251" max="11251" width="9.28515625" style="410" customWidth="1"/>
    <col min="11252" max="11252" width="9" style="410" customWidth="1"/>
    <col min="11253" max="11253" width="10.85546875" style="410" customWidth="1"/>
    <col min="11254" max="11254" width="52.7109375" style="410" customWidth="1"/>
    <col min="11255" max="11255" width="9.85546875" style="410" customWidth="1"/>
    <col min="11256" max="11256" width="5.7109375" style="410" customWidth="1"/>
    <col min="11257" max="11257" width="10.140625" style="410" customWidth="1"/>
    <col min="11258" max="11259" width="10.7109375" style="410" customWidth="1"/>
    <col min="11260" max="11260" width="10.5703125" style="410" customWidth="1"/>
    <col min="11261" max="11505" width="9.140625" style="410"/>
    <col min="11506" max="11506" width="4.7109375" style="410" customWidth="1"/>
    <col min="11507" max="11507" width="9.28515625" style="410" customWidth="1"/>
    <col min="11508" max="11508" width="9" style="410" customWidth="1"/>
    <col min="11509" max="11509" width="10.85546875" style="410" customWidth="1"/>
    <col min="11510" max="11510" width="52.7109375" style="410" customWidth="1"/>
    <col min="11511" max="11511" width="9.85546875" style="410" customWidth="1"/>
    <col min="11512" max="11512" width="5.7109375" style="410" customWidth="1"/>
    <col min="11513" max="11513" width="10.140625" style="410" customWidth="1"/>
    <col min="11514" max="11515" width="10.7109375" style="410" customWidth="1"/>
    <col min="11516" max="11516" width="10.5703125" style="410" customWidth="1"/>
    <col min="11517" max="11761" width="9.140625" style="410"/>
    <col min="11762" max="11762" width="4.7109375" style="410" customWidth="1"/>
    <col min="11763" max="11763" width="9.28515625" style="410" customWidth="1"/>
    <col min="11764" max="11764" width="9" style="410" customWidth="1"/>
    <col min="11765" max="11765" width="10.85546875" style="410" customWidth="1"/>
    <col min="11766" max="11766" width="52.7109375" style="410" customWidth="1"/>
    <col min="11767" max="11767" width="9.85546875" style="410" customWidth="1"/>
    <col min="11768" max="11768" width="5.7109375" style="410" customWidth="1"/>
    <col min="11769" max="11769" width="10.140625" style="410" customWidth="1"/>
    <col min="11770" max="11771" width="10.7109375" style="410" customWidth="1"/>
    <col min="11772" max="11772" width="10.5703125" style="410" customWidth="1"/>
    <col min="11773" max="12017" width="9.140625" style="410"/>
    <col min="12018" max="12018" width="4.7109375" style="410" customWidth="1"/>
    <col min="12019" max="12019" width="9.28515625" style="410" customWidth="1"/>
    <col min="12020" max="12020" width="9" style="410" customWidth="1"/>
    <col min="12021" max="12021" width="10.85546875" style="410" customWidth="1"/>
    <col min="12022" max="12022" width="52.7109375" style="410" customWidth="1"/>
    <col min="12023" max="12023" width="9.85546875" style="410" customWidth="1"/>
    <col min="12024" max="12024" width="5.7109375" style="410" customWidth="1"/>
    <col min="12025" max="12025" width="10.140625" style="410" customWidth="1"/>
    <col min="12026" max="12027" width="10.7109375" style="410" customWidth="1"/>
    <col min="12028" max="12028" width="10.5703125" style="410" customWidth="1"/>
    <col min="12029" max="12273" width="9.140625" style="410"/>
    <col min="12274" max="12274" width="4.7109375" style="410" customWidth="1"/>
    <col min="12275" max="12275" width="9.28515625" style="410" customWidth="1"/>
    <col min="12276" max="12276" width="9" style="410" customWidth="1"/>
    <col min="12277" max="12277" width="10.85546875" style="410" customWidth="1"/>
    <col min="12278" max="12278" width="52.7109375" style="410" customWidth="1"/>
    <col min="12279" max="12279" width="9.85546875" style="410" customWidth="1"/>
    <col min="12280" max="12280" width="5.7109375" style="410" customWidth="1"/>
    <col min="12281" max="12281" width="10.140625" style="410" customWidth="1"/>
    <col min="12282" max="12283" width="10.7109375" style="410" customWidth="1"/>
    <col min="12284" max="12284" width="10.5703125" style="410" customWidth="1"/>
    <col min="12285" max="12529" width="9.140625" style="410"/>
    <col min="12530" max="12530" width="4.7109375" style="410" customWidth="1"/>
    <col min="12531" max="12531" width="9.28515625" style="410" customWidth="1"/>
    <col min="12532" max="12532" width="9" style="410" customWidth="1"/>
    <col min="12533" max="12533" width="10.85546875" style="410" customWidth="1"/>
    <col min="12534" max="12534" width="52.7109375" style="410" customWidth="1"/>
    <col min="12535" max="12535" width="9.85546875" style="410" customWidth="1"/>
    <col min="12536" max="12536" width="5.7109375" style="410" customWidth="1"/>
    <col min="12537" max="12537" width="10.140625" style="410" customWidth="1"/>
    <col min="12538" max="12539" width="10.7109375" style="410" customWidth="1"/>
    <col min="12540" max="12540" width="10.5703125" style="410" customWidth="1"/>
    <col min="12541" max="12785" width="9.140625" style="410"/>
    <col min="12786" max="12786" width="4.7109375" style="410" customWidth="1"/>
    <col min="12787" max="12787" width="9.28515625" style="410" customWidth="1"/>
    <col min="12788" max="12788" width="9" style="410" customWidth="1"/>
    <col min="12789" max="12789" width="10.85546875" style="410" customWidth="1"/>
    <col min="12790" max="12790" width="52.7109375" style="410" customWidth="1"/>
    <col min="12791" max="12791" width="9.85546875" style="410" customWidth="1"/>
    <col min="12792" max="12792" width="5.7109375" style="410" customWidth="1"/>
    <col min="12793" max="12793" width="10.140625" style="410" customWidth="1"/>
    <col min="12794" max="12795" width="10.7109375" style="410" customWidth="1"/>
    <col min="12796" max="12796" width="10.5703125" style="410" customWidth="1"/>
    <col min="12797" max="13041" width="9.140625" style="410"/>
    <col min="13042" max="13042" width="4.7109375" style="410" customWidth="1"/>
    <col min="13043" max="13043" width="9.28515625" style="410" customWidth="1"/>
    <col min="13044" max="13044" width="9" style="410" customWidth="1"/>
    <col min="13045" max="13045" width="10.85546875" style="410" customWidth="1"/>
    <col min="13046" max="13046" width="52.7109375" style="410" customWidth="1"/>
    <col min="13047" max="13047" width="9.85546875" style="410" customWidth="1"/>
    <col min="13048" max="13048" width="5.7109375" style="410" customWidth="1"/>
    <col min="13049" max="13049" width="10.140625" style="410" customWidth="1"/>
    <col min="13050" max="13051" width="10.7109375" style="410" customWidth="1"/>
    <col min="13052" max="13052" width="10.5703125" style="410" customWidth="1"/>
    <col min="13053" max="13297" width="9.140625" style="410"/>
    <col min="13298" max="13298" width="4.7109375" style="410" customWidth="1"/>
    <col min="13299" max="13299" width="9.28515625" style="410" customWidth="1"/>
    <col min="13300" max="13300" width="9" style="410" customWidth="1"/>
    <col min="13301" max="13301" width="10.85546875" style="410" customWidth="1"/>
    <col min="13302" max="13302" width="52.7109375" style="410" customWidth="1"/>
    <col min="13303" max="13303" width="9.85546875" style="410" customWidth="1"/>
    <col min="13304" max="13304" width="5.7109375" style="410" customWidth="1"/>
    <col min="13305" max="13305" width="10.140625" style="410" customWidth="1"/>
    <col min="13306" max="13307" width="10.7109375" style="410" customWidth="1"/>
    <col min="13308" max="13308" width="10.5703125" style="410" customWidth="1"/>
    <col min="13309" max="13553" width="9.140625" style="410"/>
    <col min="13554" max="13554" width="4.7109375" style="410" customWidth="1"/>
    <col min="13555" max="13555" width="9.28515625" style="410" customWidth="1"/>
    <col min="13556" max="13556" width="9" style="410" customWidth="1"/>
    <col min="13557" max="13557" width="10.85546875" style="410" customWidth="1"/>
    <col min="13558" max="13558" width="52.7109375" style="410" customWidth="1"/>
    <col min="13559" max="13559" width="9.85546875" style="410" customWidth="1"/>
    <col min="13560" max="13560" width="5.7109375" style="410" customWidth="1"/>
    <col min="13561" max="13561" width="10.140625" style="410" customWidth="1"/>
    <col min="13562" max="13563" width="10.7109375" style="410" customWidth="1"/>
    <col min="13564" max="13564" width="10.5703125" style="410" customWidth="1"/>
    <col min="13565" max="13809" width="9.140625" style="410"/>
    <col min="13810" max="13810" width="4.7109375" style="410" customWidth="1"/>
    <col min="13811" max="13811" width="9.28515625" style="410" customWidth="1"/>
    <col min="13812" max="13812" width="9" style="410" customWidth="1"/>
    <col min="13813" max="13813" width="10.85546875" style="410" customWidth="1"/>
    <col min="13814" max="13814" width="52.7109375" style="410" customWidth="1"/>
    <col min="13815" max="13815" width="9.85546875" style="410" customWidth="1"/>
    <col min="13816" max="13816" width="5.7109375" style="410" customWidth="1"/>
    <col min="13817" max="13817" width="10.140625" style="410" customWidth="1"/>
    <col min="13818" max="13819" width="10.7109375" style="410" customWidth="1"/>
    <col min="13820" max="13820" width="10.5703125" style="410" customWidth="1"/>
    <col min="13821" max="14065" width="9.140625" style="410"/>
    <col min="14066" max="14066" width="4.7109375" style="410" customWidth="1"/>
    <col min="14067" max="14067" width="9.28515625" style="410" customWidth="1"/>
    <col min="14068" max="14068" width="9" style="410" customWidth="1"/>
    <col min="14069" max="14069" width="10.85546875" style="410" customWidth="1"/>
    <col min="14070" max="14070" width="52.7109375" style="410" customWidth="1"/>
    <col min="14071" max="14071" width="9.85546875" style="410" customWidth="1"/>
    <col min="14072" max="14072" width="5.7109375" style="410" customWidth="1"/>
    <col min="14073" max="14073" width="10.140625" style="410" customWidth="1"/>
    <col min="14074" max="14075" width="10.7109375" style="410" customWidth="1"/>
    <col min="14076" max="14076" width="10.5703125" style="410" customWidth="1"/>
    <col min="14077" max="14321" width="9.140625" style="410"/>
    <col min="14322" max="14322" width="4.7109375" style="410" customWidth="1"/>
    <col min="14323" max="14323" width="9.28515625" style="410" customWidth="1"/>
    <col min="14324" max="14324" width="9" style="410" customWidth="1"/>
    <col min="14325" max="14325" width="10.85546875" style="410" customWidth="1"/>
    <col min="14326" max="14326" width="52.7109375" style="410" customWidth="1"/>
    <col min="14327" max="14327" width="9.85546875" style="410" customWidth="1"/>
    <col min="14328" max="14328" width="5.7109375" style="410" customWidth="1"/>
    <col min="14329" max="14329" width="10.140625" style="410" customWidth="1"/>
    <col min="14330" max="14331" width="10.7109375" style="410" customWidth="1"/>
    <col min="14332" max="14332" width="10.5703125" style="410" customWidth="1"/>
    <col min="14333" max="14577" width="9.140625" style="410"/>
    <col min="14578" max="14578" width="4.7109375" style="410" customWidth="1"/>
    <col min="14579" max="14579" width="9.28515625" style="410" customWidth="1"/>
    <col min="14580" max="14580" width="9" style="410" customWidth="1"/>
    <col min="14581" max="14581" width="10.85546875" style="410" customWidth="1"/>
    <col min="14582" max="14582" width="52.7109375" style="410" customWidth="1"/>
    <col min="14583" max="14583" width="9.85546875" style="410" customWidth="1"/>
    <col min="14584" max="14584" width="5.7109375" style="410" customWidth="1"/>
    <col min="14585" max="14585" width="10.140625" style="410" customWidth="1"/>
    <col min="14586" max="14587" width="10.7109375" style="410" customWidth="1"/>
    <col min="14588" max="14588" width="10.5703125" style="410" customWidth="1"/>
    <col min="14589" max="14833" width="9.140625" style="410"/>
    <col min="14834" max="14834" width="4.7109375" style="410" customWidth="1"/>
    <col min="14835" max="14835" width="9.28515625" style="410" customWidth="1"/>
    <col min="14836" max="14836" width="9" style="410" customWidth="1"/>
    <col min="14837" max="14837" width="10.85546875" style="410" customWidth="1"/>
    <col min="14838" max="14838" width="52.7109375" style="410" customWidth="1"/>
    <col min="14839" max="14839" width="9.85546875" style="410" customWidth="1"/>
    <col min="14840" max="14840" width="5.7109375" style="410" customWidth="1"/>
    <col min="14841" max="14841" width="10.140625" style="410" customWidth="1"/>
    <col min="14842" max="14843" width="10.7109375" style="410" customWidth="1"/>
    <col min="14844" max="14844" width="10.5703125" style="410" customWidth="1"/>
    <col min="14845" max="15089" width="9.140625" style="410"/>
    <col min="15090" max="15090" width="4.7109375" style="410" customWidth="1"/>
    <col min="15091" max="15091" width="9.28515625" style="410" customWidth="1"/>
    <col min="15092" max="15092" width="9" style="410" customWidth="1"/>
    <col min="15093" max="15093" width="10.85546875" style="410" customWidth="1"/>
    <col min="15094" max="15094" width="52.7109375" style="410" customWidth="1"/>
    <col min="15095" max="15095" width="9.85546875" style="410" customWidth="1"/>
    <col min="15096" max="15096" width="5.7109375" style="410" customWidth="1"/>
    <col min="15097" max="15097" width="10.140625" style="410" customWidth="1"/>
    <col min="15098" max="15099" width="10.7109375" style="410" customWidth="1"/>
    <col min="15100" max="15100" width="10.5703125" style="410" customWidth="1"/>
    <col min="15101" max="15345" width="9.140625" style="410"/>
    <col min="15346" max="15346" width="4.7109375" style="410" customWidth="1"/>
    <col min="15347" max="15347" width="9.28515625" style="410" customWidth="1"/>
    <col min="15348" max="15348" width="9" style="410" customWidth="1"/>
    <col min="15349" max="15349" width="10.85546875" style="410" customWidth="1"/>
    <col min="15350" max="15350" width="52.7109375" style="410" customWidth="1"/>
    <col min="15351" max="15351" width="9.85546875" style="410" customWidth="1"/>
    <col min="15352" max="15352" width="5.7109375" style="410" customWidth="1"/>
    <col min="15353" max="15353" width="10.140625" style="410" customWidth="1"/>
    <col min="15354" max="15355" width="10.7109375" style="410" customWidth="1"/>
    <col min="15356" max="15356" width="10.5703125" style="410" customWidth="1"/>
    <col min="15357" max="15601" width="9.140625" style="410"/>
    <col min="15602" max="15602" width="4.7109375" style="410" customWidth="1"/>
    <col min="15603" max="15603" width="9.28515625" style="410" customWidth="1"/>
    <col min="15604" max="15604" width="9" style="410" customWidth="1"/>
    <col min="15605" max="15605" width="10.85546875" style="410" customWidth="1"/>
    <col min="15606" max="15606" width="52.7109375" style="410" customWidth="1"/>
    <col min="15607" max="15607" width="9.85546875" style="410" customWidth="1"/>
    <col min="15608" max="15608" width="5.7109375" style="410" customWidth="1"/>
    <col min="15609" max="15609" width="10.140625" style="410" customWidth="1"/>
    <col min="15610" max="15611" width="10.7109375" style="410" customWidth="1"/>
    <col min="15612" max="15612" width="10.5703125" style="410" customWidth="1"/>
    <col min="15613" max="15857" width="9.140625" style="410"/>
    <col min="15858" max="15858" width="4.7109375" style="410" customWidth="1"/>
    <col min="15859" max="15859" width="9.28515625" style="410" customWidth="1"/>
    <col min="15860" max="15860" width="9" style="410" customWidth="1"/>
    <col min="15861" max="15861" width="10.85546875" style="410" customWidth="1"/>
    <col min="15862" max="15862" width="52.7109375" style="410" customWidth="1"/>
    <col min="15863" max="15863" width="9.85546875" style="410" customWidth="1"/>
    <col min="15864" max="15864" width="5.7109375" style="410" customWidth="1"/>
    <col min="15865" max="15865" width="10.140625" style="410" customWidth="1"/>
    <col min="15866" max="15867" width="10.7109375" style="410" customWidth="1"/>
    <col min="15868" max="15868" width="10.5703125" style="410" customWidth="1"/>
    <col min="15869" max="16113" width="9.140625" style="410"/>
    <col min="16114" max="16114" width="4.7109375" style="410" customWidth="1"/>
    <col min="16115" max="16115" width="9.28515625" style="410" customWidth="1"/>
    <col min="16116" max="16116" width="9" style="410" customWidth="1"/>
    <col min="16117" max="16117" width="10.85546875" style="410" customWidth="1"/>
    <col min="16118" max="16118" width="52.7109375" style="410" customWidth="1"/>
    <col min="16119" max="16119" width="9.85546875" style="410" customWidth="1"/>
    <col min="16120" max="16120" width="5.7109375" style="410" customWidth="1"/>
    <col min="16121" max="16121" width="10.140625" style="410" customWidth="1"/>
    <col min="16122" max="16123" width="10.7109375" style="410" customWidth="1"/>
    <col min="16124" max="16124" width="10.5703125" style="410" customWidth="1"/>
    <col min="16125" max="16384" width="9.140625" style="410"/>
  </cols>
  <sheetData>
    <row r="1" spans="1:9">
      <c r="A1" s="406" t="s">
        <v>1</v>
      </c>
      <c r="B1" s="406"/>
      <c r="C1" s="407"/>
      <c r="D1" s="408"/>
      <c r="E1" s="969" t="s">
        <v>2440</v>
      </c>
      <c r="G1" s="499"/>
    </row>
    <row r="2" spans="1:9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9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9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9">
      <c r="A5" s="416"/>
      <c r="B5" s="417"/>
      <c r="C5" s="418"/>
      <c r="D5" s="419"/>
      <c r="E5" s="988"/>
      <c r="F5" s="504"/>
      <c r="G5" s="505"/>
      <c r="H5" s="529"/>
    </row>
    <row r="6" spans="1:9">
      <c r="A6" s="265"/>
      <c r="B6" s="237" t="s">
        <v>72</v>
      </c>
      <c r="C6" s="422"/>
      <c r="D6" s="422"/>
      <c r="E6" s="27" t="s">
        <v>73</v>
      </c>
      <c r="F6" s="311"/>
      <c r="G6" s="508"/>
      <c r="H6" s="531"/>
    </row>
    <row r="7" spans="1:9">
      <c r="A7" s="265"/>
      <c r="B7" s="237"/>
      <c r="C7" s="422"/>
      <c r="D7" s="422"/>
      <c r="E7" s="27"/>
      <c r="F7" s="308"/>
      <c r="G7" s="508"/>
      <c r="H7" s="531"/>
    </row>
    <row r="8" spans="1:9">
      <c r="A8" s="34">
        <f>MAX(A$1:A4)+1</f>
        <v>1</v>
      </c>
      <c r="B8" s="836"/>
      <c r="C8" s="36" t="s">
        <v>74</v>
      </c>
      <c r="D8" s="37"/>
      <c r="E8" s="38" t="s">
        <v>75</v>
      </c>
      <c r="F8" s="955"/>
      <c r="G8" s="847" t="s">
        <v>18</v>
      </c>
      <c r="H8" s="544">
        <v>55</v>
      </c>
      <c r="I8" s="989"/>
    </row>
    <row r="9" spans="1:9">
      <c r="A9" s="835"/>
      <c r="B9" s="836"/>
      <c r="C9" s="66"/>
      <c r="D9" s="67" t="s">
        <v>76</v>
      </c>
      <c r="E9" s="71" t="s">
        <v>77</v>
      </c>
      <c r="F9" s="775"/>
      <c r="G9" s="776" t="s">
        <v>18</v>
      </c>
      <c r="H9" s="545">
        <v>55</v>
      </c>
    </row>
    <row r="10" spans="1:9">
      <c r="A10" s="835"/>
      <c r="B10" s="836"/>
      <c r="C10" s="834"/>
      <c r="D10" s="773"/>
      <c r="E10" s="783" t="s">
        <v>2441</v>
      </c>
      <c r="F10" s="990">
        <v>55</v>
      </c>
      <c r="G10" s="776"/>
      <c r="H10" s="535"/>
    </row>
    <row r="11" spans="1:9">
      <c r="A11" s="350"/>
      <c r="B11" s="329"/>
      <c r="C11" s="66"/>
      <c r="D11" s="67"/>
      <c r="E11" s="345"/>
      <c r="F11" s="212"/>
      <c r="G11" s="295"/>
      <c r="H11" s="541"/>
    </row>
    <row r="12" spans="1:9">
      <c r="A12" s="34">
        <f>MAX(A$1:A8)+1</f>
        <v>2</v>
      </c>
      <c r="B12" s="327"/>
      <c r="C12" s="36" t="s">
        <v>158</v>
      </c>
      <c r="D12" s="37"/>
      <c r="E12" s="251" t="s">
        <v>159</v>
      </c>
      <c r="F12" s="264"/>
      <c r="G12" s="286" t="s">
        <v>18</v>
      </c>
      <c r="H12" s="540">
        <v>543.20000000000005</v>
      </c>
    </row>
    <row r="13" spans="1:9">
      <c r="A13" s="320"/>
      <c r="B13" s="80"/>
      <c r="C13" s="66"/>
      <c r="D13" s="67" t="s">
        <v>160</v>
      </c>
      <c r="E13" s="167" t="s">
        <v>161</v>
      </c>
      <c r="F13" s="212"/>
      <c r="G13" s="295" t="s">
        <v>18</v>
      </c>
      <c r="H13" s="542">
        <v>543.20000000000005</v>
      </c>
    </row>
    <row r="14" spans="1:9">
      <c r="A14" s="320"/>
      <c r="B14" s="80"/>
      <c r="C14" s="66"/>
      <c r="D14" s="67"/>
      <c r="E14" s="330" t="s">
        <v>2442</v>
      </c>
      <c r="F14" s="212">
        <v>543.20000000000005</v>
      </c>
      <c r="G14" s="295"/>
      <c r="H14" s="542"/>
    </row>
    <row r="15" spans="1:9">
      <c r="A15" s="320"/>
      <c r="B15" s="249"/>
      <c r="C15" s="66"/>
      <c r="D15" s="67"/>
      <c r="E15" s="330"/>
      <c r="F15" s="212"/>
      <c r="G15" s="295"/>
      <c r="H15" s="542"/>
    </row>
    <row r="16" spans="1:9" ht="51">
      <c r="A16" s="320"/>
      <c r="B16" s="249"/>
      <c r="C16" s="66"/>
      <c r="D16" s="67"/>
      <c r="E16" s="783" t="s">
        <v>2443</v>
      </c>
      <c r="F16" s="212"/>
      <c r="G16" s="295"/>
      <c r="H16" s="542"/>
    </row>
    <row r="17" spans="1:9">
      <c r="A17" s="428"/>
      <c r="B17" s="335"/>
      <c r="C17" s="432"/>
      <c r="D17" s="433"/>
      <c r="E17" s="991" t="s">
        <v>79</v>
      </c>
      <c r="F17" s="547"/>
      <c r="G17" s="510"/>
      <c r="H17" s="545"/>
    </row>
    <row r="18" spans="1:9">
      <c r="A18" s="334">
        <f>MAX(A$1:A17)+1</f>
        <v>3</v>
      </c>
      <c r="B18" s="335"/>
      <c r="C18" s="435" t="s">
        <v>78</v>
      </c>
      <c r="D18" s="436"/>
      <c r="F18" s="547"/>
      <c r="G18" s="511" t="s">
        <v>18</v>
      </c>
      <c r="H18" s="544">
        <v>598.20000000000005</v>
      </c>
      <c r="I18" s="989"/>
    </row>
    <row r="19" spans="1:9">
      <c r="A19" s="334"/>
      <c r="B19" s="429"/>
      <c r="C19" s="430"/>
      <c r="D19" s="431" t="s">
        <v>80</v>
      </c>
      <c r="E19" s="728" t="s">
        <v>81</v>
      </c>
      <c r="F19" s="548"/>
      <c r="G19" s="512" t="s">
        <v>18</v>
      </c>
      <c r="H19" s="545">
        <v>598.20000000000005</v>
      </c>
      <c r="I19" s="989"/>
    </row>
    <row r="20" spans="1:9">
      <c r="A20" s="438"/>
      <c r="B20" s="429"/>
      <c r="C20" s="430"/>
      <c r="D20" s="431"/>
      <c r="E20" s="470" t="s">
        <v>2444</v>
      </c>
      <c r="F20" s="547">
        <v>543.20000000000005</v>
      </c>
      <c r="G20" s="512"/>
      <c r="H20" s="535"/>
      <c r="I20" s="989"/>
    </row>
    <row r="21" spans="1:9">
      <c r="A21" s="438"/>
      <c r="B21" s="429"/>
      <c r="C21" s="430"/>
      <c r="D21" s="431"/>
      <c r="E21" s="783" t="s">
        <v>2445</v>
      </c>
      <c r="F21" s="848">
        <f>F10</f>
        <v>55</v>
      </c>
      <c r="G21" s="512"/>
      <c r="H21" s="535"/>
      <c r="I21" s="989"/>
    </row>
    <row r="22" spans="1:9">
      <c r="A22" s="438"/>
      <c r="B22" s="429"/>
      <c r="C22" s="430"/>
      <c r="D22" s="431"/>
      <c r="E22" s="470"/>
      <c r="F22" s="547">
        <f>SUM(F20:F21)</f>
        <v>598.20000000000005</v>
      </c>
      <c r="G22" s="512"/>
      <c r="H22" s="535"/>
      <c r="I22" s="989"/>
    </row>
    <row r="23" spans="1:9">
      <c r="A23" s="438"/>
      <c r="B23" s="335"/>
      <c r="C23" s="432"/>
      <c r="D23" s="433"/>
      <c r="E23" s="470"/>
      <c r="F23" s="547"/>
      <c r="G23" s="510"/>
      <c r="H23" s="550"/>
      <c r="I23" s="989"/>
    </row>
    <row r="24" spans="1:9" ht="51">
      <c r="A24" s="438"/>
      <c r="B24" s="441"/>
      <c r="C24" s="441"/>
      <c r="D24" s="992"/>
      <c r="E24" s="783" t="s">
        <v>2443</v>
      </c>
      <c r="F24" s="598"/>
      <c r="G24" s="513"/>
      <c r="H24" s="721"/>
      <c r="I24" s="989"/>
    </row>
    <row r="25" spans="1:9">
      <c r="A25" s="438"/>
      <c r="B25" s="441"/>
      <c r="C25" s="441"/>
      <c r="D25" s="992"/>
      <c r="E25" s="993"/>
      <c r="F25" s="598"/>
      <c r="G25" s="513"/>
      <c r="H25" s="721"/>
      <c r="I25" s="989"/>
    </row>
    <row r="26" spans="1:9">
      <c r="A26" s="34">
        <f>MAX(A$1:A25)+1</f>
        <v>4</v>
      </c>
      <c r="B26" s="836"/>
      <c r="C26" s="953" t="s">
        <v>484</v>
      </c>
      <c r="D26" s="846"/>
      <c r="E26" s="954" t="s">
        <v>485</v>
      </c>
      <c r="F26" s="775"/>
      <c r="G26" s="847" t="s">
        <v>36</v>
      </c>
      <c r="H26" s="544">
        <v>139</v>
      </c>
    </row>
    <row r="27" spans="1:9" ht="25.5">
      <c r="A27" s="835"/>
      <c r="B27" s="836"/>
      <c r="C27" s="834"/>
      <c r="D27" s="773" t="s">
        <v>486</v>
      </c>
      <c r="E27" s="774" t="s">
        <v>487</v>
      </c>
      <c r="F27" s="775"/>
      <c r="G27" s="776" t="s">
        <v>36</v>
      </c>
      <c r="H27" s="545">
        <v>139</v>
      </c>
    </row>
    <row r="28" spans="1:9">
      <c r="A28" s="835"/>
      <c r="B28" s="836"/>
      <c r="C28" s="834"/>
      <c r="D28" s="773"/>
      <c r="E28" s="132" t="s">
        <v>2446</v>
      </c>
      <c r="F28" s="278">
        <v>139</v>
      </c>
      <c r="G28" s="776"/>
      <c r="H28" s="535"/>
    </row>
    <row r="29" spans="1:9">
      <c r="A29" s="438"/>
      <c r="B29" s="441"/>
      <c r="C29" s="441"/>
      <c r="D29" s="992"/>
      <c r="E29" s="993"/>
      <c r="F29" s="598"/>
      <c r="G29" s="513"/>
      <c r="H29" s="721"/>
    </row>
    <row r="30" spans="1:9">
      <c r="A30" s="438"/>
      <c r="B30" s="237" t="s">
        <v>501</v>
      </c>
      <c r="C30" s="237"/>
      <c r="D30" s="237"/>
      <c r="E30" s="726" t="s">
        <v>502</v>
      </c>
      <c r="F30" s="994"/>
      <c r="G30" s="513"/>
      <c r="H30" s="721"/>
    </row>
    <row r="31" spans="1:9">
      <c r="A31" s="438"/>
      <c r="B31" s="237"/>
      <c r="C31" s="237"/>
      <c r="D31" s="237"/>
      <c r="E31" s="27"/>
      <c r="F31" s="598"/>
      <c r="G31" s="513"/>
      <c r="H31" s="721"/>
    </row>
    <row r="32" spans="1:9">
      <c r="A32" s="34">
        <f>MAX(A$1:A30)+1</f>
        <v>5</v>
      </c>
      <c r="B32" s="441"/>
      <c r="C32" s="995">
        <v>91030104</v>
      </c>
      <c r="D32" s="995"/>
      <c r="E32" s="996" t="s">
        <v>2447</v>
      </c>
      <c r="F32" s="997"/>
      <c r="G32" s="998" t="s">
        <v>36</v>
      </c>
      <c r="H32" s="544">
        <v>237</v>
      </c>
    </row>
    <row r="33" spans="1:8">
      <c r="A33" s="438"/>
      <c r="B33" s="441"/>
      <c r="C33" s="588"/>
      <c r="D33" s="434">
        <v>9103010403</v>
      </c>
      <c r="E33" s="728" t="s">
        <v>2448</v>
      </c>
      <c r="F33" s="598"/>
      <c r="G33" s="513" t="s">
        <v>36</v>
      </c>
      <c r="H33" s="545">
        <v>237</v>
      </c>
    </row>
    <row r="34" spans="1:8">
      <c r="A34" s="438"/>
      <c r="B34" s="441"/>
      <c r="C34" s="588"/>
      <c r="D34" s="434"/>
      <c r="E34" s="727" t="s">
        <v>2449</v>
      </c>
      <c r="F34" s="724">
        <v>237</v>
      </c>
      <c r="G34" s="513"/>
      <c r="H34" s="721"/>
    </row>
    <row r="35" spans="1:8">
      <c r="A35" s="438"/>
      <c r="B35" s="237"/>
      <c r="C35" s="237"/>
      <c r="D35" s="237"/>
      <c r="E35" s="27"/>
      <c r="F35" s="598"/>
      <c r="G35" s="513"/>
      <c r="H35" s="721"/>
    </row>
    <row r="36" spans="1:8">
      <c r="A36" s="34">
        <f>MAX(A$1:A34)+1</f>
        <v>6</v>
      </c>
      <c r="B36" s="441"/>
      <c r="C36" s="995">
        <v>91030130</v>
      </c>
      <c r="D36" s="995"/>
      <c r="E36" s="996" t="s">
        <v>2450</v>
      </c>
      <c r="F36" s="997"/>
      <c r="G36" s="998" t="s">
        <v>33</v>
      </c>
      <c r="H36" s="540">
        <v>107</v>
      </c>
    </row>
    <row r="37" spans="1:8">
      <c r="A37" s="438"/>
      <c r="B37" s="441"/>
      <c r="C37" s="588"/>
      <c r="D37" s="434">
        <v>9103013001</v>
      </c>
      <c r="E37" s="728" t="s">
        <v>2451</v>
      </c>
      <c r="F37" s="598"/>
      <c r="G37" s="513" t="s">
        <v>33</v>
      </c>
      <c r="H37" s="542">
        <v>106</v>
      </c>
    </row>
    <row r="38" spans="1:8">
      <c r="A38" s="438"/>
      <c r="B38" s="441"/>
      <c r="C38" s="588"/>
      <c r="D38" s="434"/>
      <c r="E38" s="727" t="s">
        <v>2452</v>
      </c>
      <c r="F38" s="724">
        <v>106</v>
      </c>
      <c r="G38" s="513"/>
      <c r="H38" s="721"/>
    </row>
    <row r="39" spans="1:8" ht="15" customHeight="1">
      <c r="A39" s="438"/>
      <c r="B39" s="441"/>
      <c r="C39" s="588"/>
      <c r="D39" s="434">
        <v>9103013002</v>
      </c>
      <c r="E39" s="728" t="s">
        <v>2453</v>
      </c>
      <c r="F39" s="598"/>
      <c r="G39" s="513" t="s">
        <v>33</v>
      </c>
      <c r="H39" s="566">
        <v>1</v>
      </c>
    </row>
    <row r="40" spans="1:8">
      <c r="A40" s="438"/>
      <c r="B40" s="441"/>
      <c r="C40" s="588"/>
      <c r="D40" s="434"/>
      <c r="E40" s="727" t="s">
        <v>2454</v>
      </c>
      <c r="F40" s="724">
        <v>1</v>
      </c>
      <c r="G40" s="513"/>
      <c r="H40" s="542"/>
    </row>
    <row r="41" spans="1:8">
      <c r="A41" s="438"/>
      <c r="B41" s="441"/>
      <c r="C41" s="588"/>
      <c r="D41" s="434"/>
      <c r="E41" s="728"/>
      <c r="F41" s="598"/>
      <c r="G41" s="513"/>
      <c r="H41" s="721"/>
    </row>
    <row r="42" spans="1:8">
      <c r="A42" s="34">
        <f>MAX(A$1:A40)+1</f>
        <v>7</v>
      </c>
      <c r="B42" s="441"/>
      <c r="C42" s="995">
        <v>91030229</v>
      </c>
      <c r="D42" s="995"/>
      <c r="E42" s="996" t="s">
        <v>2455</v>
      </c>
      <c r="F42" s="997"/>
      <c r="G42" s="998" t="s">
        <v>33</v>
      </c>
      <c r="H42" s="544">
        <v>29</v>
      </c>
    </row>
    <row r="43" spans="1:8">
      <c r="A43" s="438"/>
      <c r="B43" s="441"/>
      <c r="C43" s="588"/>
      <c r="D43" s="434">
        <v>9103022902</v>
      </c>
      <c r="E43" s="728" t="s">
        <v>2456</v>
      </c>
      <c r="F43" s="598"/>
      <c r="G43" s="513" t="s">
        <v>33</v>
      </c>
      <c r="H43" s="545">
        <v>29</v>
      </c>
    </row>
    <row r="44" spans="1:8">
      <c r="A44" s="438"/>
      <c r="B44" s="441"/>
      <c r="C44" s="588"/>
      <c r="D44" s="434"/>
      <c r="E44" s="727" t="s">
        <v>2457</v>
      </c>
      <c r="F44" s="724">
        <v>29</v>
      </c>
      <c r="G44" s="513"/>
      <c r="H44" s="721"/>
    </row>
    <row r="45" spans="1:8">
      <c r="A45" s="438"/>
      <c r="B45" s="441"/>
      <c r="C45" s="588"/>
      <c r="D45" s="434"/>
      <c r="E45" s="728"/>
      <c r="F45" s="598"/>
      <c r="G45" s="513"/>
      <c r="H45" s="721"/>
    </row>
    <row r="46" spans="1:8" ht="25.5">
      <c r="A46" s="334">
        <f>MAX(A$1:A45)+1</f>
        <v>8</v>
      </c>
      <c r="B46" s="328"/>
      <c r="C46" s="978">
        <v>91282401</v>
      </c>
      <c r="D46" s="979"/>
      <c r="E46" s="980" t="s">
        <v>1740</v>
      </c>
      <c r="F46" s="981"/>
      <c r="G46" s="982" t="s">
        <v>145</v>
      </c>
      <c r="H46" s="722">
        <v>20</v>
      </c>
    </row>
    <row r="47" spans="1:8">
      <c r="A47" s="290"/>
      <c r="B47" s="328"/>
      <c r="C47" s="344"/>
      <c r="D47" s="199"/>
      <c r="E47" s="77" t="s">
        <v>1741</v>
      </c>
      <c r="F47" s="212">
        <v>20</v>
      </c>
      <c r="G47" s="295"/>
      <c r="H47" s="723"/>
    </row>
    <row r="48" spans="1:8">
      <c r="A48" s="438"/>
      <c r="B48" s="441"/>
      <c r="C48" s="588"/>
      <c r="D48" s="434"/>
      <c r="E48" s="728"/>
      <c r="F48" s="598"/>
      <c r="G48" s="513"/>
      <c r="H48" s="721"/>
    </row>
    <row r="49" spans="1:9" ht="25.5">
      <c r="A49" s="999"/>
      <c r="B49" s="1000" t="s">
        <v>480</v>
      </c>
      <c r="C49" s="1000"/>
      <c r="D49" s="1001"/>
      <c r="E49" s="1002" t="s">
        <v>481</v>
      </c>
      <c r="F49" s="1003"/>
      <c r="G49" s="1004"/>
      <c r="H49" s="1005"/>
      <c r="I49" s="989"/>
    </row>
    <row r="50" spans="1:9">
      <c r="A50" s="999"/>
      <c r="B50" s="1000"/>
      <c r="C50" s="1000"/>
      <c r="D50" s="1001"/>
      <c r="E50" s="1002"/>
      <c r="F50" s="1006"/>
      <c r="G50" s="1004"/>
      <c r="H50" s="1005"/>
      <c r="I50" s="989"/>
    </row>
    <row r="51" spans="1:9" ht="25.5">
      <c r="A51" s="835">
        <f>MAX(A$1:A45)+1</f>
        <v>8</v>
      </c>
      <c r="B51" s="960"/>
      <c r="C51" s="1007">
        <v>91220702</v>
      </c>
      <c r="D51" s="1008"/>
      <c r="E51" s="496" t="s">
        <v>648</v>
      </c>
      <c r="F51" s="1009"/>
      <c r="G51" s="1010" t="s">
        <v>33</v>
      </c>
      <c r="H51" s="1011">
        <v>460</v>
      </c>
      <c r="I51" s="989"/>
    </row>
    <row r="52" spans="1:9" ht="25.5">
      <c r="A52" s="1012"/>
      <c r="B52" s="960"/>
      <c r="C52" s="1007"/>
      <c r="D52" s="1013">
        <v>9122070201</v>
      </c>
      <c r="E52" s="1014" t="s">
        <v>649</v>
      </c>
      <c r="F52" s="1015"/>
      <c r="G52" s="1016" t="s">
        <v>33</v>
      </c>
      <c r="H52" s="1017">
        <v>460</v>
      </c>
      <c r="I52" s="989"/>
    </row>
    <row r="53" spans="1:9">
      <c r="A53" s="1012"/>
      <c r="B53" s="960"/>
      <c r="C53" s="1007"/>
      <c r="D53" s="1008"/>
      <c r="E53" s="1018" t="s">
        <v>2458</v>
      </c>
      <c r="F53" s="521">
        <v>107</v>
      </c>
      <c r="G53" s="1010"/>
      <c r="H53" s="1019"/>
      <c r="I53" s="989"/>
    </row>
    <row r="54" spans="1:9">
      <c r="A54" s="1012"/>
      <c r="B54" s="960"/>
      <c r="C54" s="1007"/>
      <c r="D54" s="1008"/>
      <c r="E54" s="1018" t="s">
        <v>2459</v>
      </c>
      <c r="F54" s="521">
        <v>251</v>
      </c>
      <c r="G54" s="1010"/>
      <c r="H54" s="1019"/>
      <c r="I54" s="989"/>
    </row>
    <row r="55" spans="1:9">
      <c r="A55" s="1012"/>
      <c r="B55" s="960"/>
      <c r="C55" s="1007"/>
      <c r="D55" s="1008"/>
      <c r="E55" s="1018" t="s">
        <v>647</v>
      </c>
      <c r="F55" s="522">
        <v>102</v>
      </c>
      <c r="G55" s="1010"/>
      <c r="H55" s="1019"/>
      <c r="I55" s="989"/>
    </row>
    <row r="56" spans="1:9">
      <c r="A56" s="1012"/>
      <c r="B56" s="960"/>
      <c r="C56" s="1007"/>
      <c r="D56" s="1008"/>
      <c r="E56" s="1020"/>
      <c r="F56" s="572">
        <f>SUM(F53:F55)</f>
        <v>460</v>
      </c>
      <c r="G56" s="1010"/>
      <c r="H56" s="1019"/>
      <c r="I56" s="989"/>
    </row>
    <row r="57" spans="1:9">
      <c r="A57" s="1012"/>
      <c r="B57" s="960"/>
      <c r="C57" s="1007"/>
      <c r="D57" s="1008"/>
      <c r="E57" s="496"/>
      <c r="F57" s="1009"/>
      <c r="G57" s="1010"/>
      <c r="H57" s="1019"/>
      <c r="I57" s="989"/>
    </row>
    <row r="58" spans="1:9" ht="25.5">
      <c r="A58" s="835">
        <f>MAX(A$1:A56)+1</f>
        <v>9</v>
      </c>
      <c r="B58" s="960"/>
      <c r="C58" s="1007">
        <v>91221001</v>
      </c>
      <c r="D58" s="1008"/>
      <c r="E58" s="496" t="s">
        <v>619</v>
      </c>
      <c r="F58" s="779"/>
      <c r="G58" s="1010" t="s">
        <v>36</v>
      </c>
      <c r="H58" s="1011">
        <v>2910</v>
      </c>
      <c r="I58" s="989"/>
    </row>
    <row r="59" spans="1:9" ht="25.5">
      <c r="A59" s="1021"/>
      <c r="B59" s="1022"/>
      <c r="C59" s="1023"/>
      <c r="D59" s="1013">
        <v>9122100103</v>
      </c>
      <c r="E59" s="1014" t="s">
        <v>620</v>
      </c>
      <c r="F59" s="958"/>
      <c r="G59" s="1016" t="s">
        <v>36</v>
      </c>
      <c r="H59" s="1024">
        <v>2505</v>
      </c>
      <c r="I59" s="989"/>
    </row>
    <row r="60" spans="1:9">
      <c r="A60" s="1021"/>
      <c r="B60" s="1022"/>
      <c r="C60" s="331"/>
      <c r="D60" s="332"/>
      <c r="E60" s="1018" t="s">
        <v>734</v>
      </c>
      <c r="F60" s="1025">
        <v>2505</v>
      </c>
      <c r="G60" s="523"/>
      <c r="H60" s="1026"/>
      <c r="I60" s="989"/>
    </row>
    <row r="61" spans="1:9" ht="25.5">
      <c r="A61" s="1027"/>
      <c r="B61" s="1028"/>
      <c r="C61" s="1023"/>
      <c r="D61" s="1029">
        <v>9122100102</v>
      </c>
      <c r="E61" s="1014" t="s">
        <v>717</v>
      </c>
      <c r="F61" s="1030"/>
      <c r="G61" s="1016" t="s">
        <v>36</v>
      </c>
      <c r="H61" s="1017">
        <v>405</v>
      </c>
      <c r="I61" s="989"/>
    </row>
    <row r="62" spans="1:9">
      <c r="A62" s="1027"/>
      <c r="B62" s="1028"/>
      <c r="C62" s="1023"/>
      <c r="D62" s="1029"/>
      <c r="E62" s="1018" t="s">
        <v>2460</v>
      </c>
      <c r="F62" s="521">
        <v>235</v>
      </c>
      <c r="G62" s="1016"/>
      <c r="H62" s="1031"/>
      <c r="I62" s="989"/>
    </row>
    <row r="63" spans="1:9">
      <c r="A63" s="1027"/>
      <c r="B63" s="1028"/>
      <c r="C63" s="1023"/>
      <c r="D63" s="1029"/>
      <c r="E63" s="1018" t="s">
        <v>2461</v>
      </c>
      <c r="F63" s="522">
        <v>170</v>
      </c>
      <c r="G63" s="1016"/>
      <c r="H63" s="1031"/>
      <c r="I63" s="989"/>
    </row>
    <row r="64" spans="1:9">
      <c r="A64" s="1027"/>
      <c r="B64" s="1028"/>
      <c r="C64" s="1023"/>
      <c r="D64" s="1029"/>
      <c r="E64" s="1018"/>
      <c r="F64" s="572">
        <f>SUM(F62:F63)</f>
        <v>405</v>
      </c>
      <c r="G64" s="1016"/>
      <c r="H64" s="1031"/>
      <c r="I64" s="989"/>
    </row>
    <row r="65" spans="1:9">
      <c r="A65" s="1027"/>
      <c r="B65" s="1028"/>
      <c r="C65" s="1023"/>
      <c r="D65" s="1029"/>
      <c r="E65" s="1014"/>
      <c r="F65" s="1030"/>
      <c r="G65" s="1016"/>
      <c r="H65" s="1031"/>
      <c r="I65" s="989"/>
    </row>
    <row r="66" spans="1:9" ht="25.5">
      <c r="A66" s="835">
        <f>MAX(A$1:A62)+1</f>
        <v>10</v>
      </c>
      <c r="B66" s="1028"/>
      <c r="C66" s="1007">
        <v>91221201</v>
      </c>
      <c r="D66" s="1032"/>
      <c r="E66" s="1033" t="s">
        <v>652</v>
      </c>
      <c r="F66" s="1034"/>
      <c r="G66" s="1010" t="s">
        <v>36</v>
      </c>
      <c r="H66" s="1011">
        <v>113.5</v>
      </c>
      <c r="I66" s="989"/>
    </row>
    <row r="67" spans="1:9" ht="25.5">
      <c r="A67" s="1027"/>
      <c r="B67" s="1028"/>
      <c r="C67" s="1023"/>
      <c r="D67" s="1029">
        <v>9122120101</v>
      </c>
      <c r="E67" s="1014" t="s">
        <v>653</v>
      </c>
      <c r="F67" s="1030"/>
      <c r="G67" s="1016" t="s">
        <v>36</v>
      </c>
      <c r="H67" s="1017">
        <v>113.5</v>
      </c>
      <c r="I67" s="989"/>
    </row>
    <row r="68" spans="1:9">
      <c r="A68" s="1027"/>
      <c r="B68" s="1028"/>
      <c r="C68" s="1023"/>
      <c r="D68" s="1029"/>
      <c r="E68" s="1018" t="s">
        <v>2462</v>
      </c>
      <c r="F68" s="1035">
        <v>113.5</v>
      </c>
      <c r="G68" s="1016"/>
      <c r="H68" s="1031"/>
      <c r="I68" s="989"/>
    </row>
    <row r="69" spans="1:9">
      <c r="A69" s="1027"/>
      <c r="B69" s="1028"/>
      <c r="C69" s="1023"/>
      <c r="D69" s="1029"/>
      <c r="E69" s="1014"/>
      <c r="F69" s="1030"/>
      <c r="G69" s="1016"/>
      <c r="H69" s="1031"/>
      <c r="I69" s="989"/>
    </row>
    <row r="70" spans="1:9" ht="25.5">
      <c r="A70" s="290"/>
      <c r="B70" s="24" t="s">
        <v>1749</v>
      </c>
      <c r="C70" s="24"/>
      <c r="D70" s="24"/>
      <c r="E70" s="726" t="s">
        <v>1750</v>
      </c>
      <c r="F70" s="983"/>
      <c r="G70" s="295"/>
      <c r="H70" s="541"/>
      <c r="I70" s="989"/>
    </row>
    <row r="71" spans="1:9">
      <c r="A71" s="290"/>
      <c r="B71" s="328"/>
      <c r="C71" s="198"/>
      <c r="D71" s="199"/>
      <c r="E71" s="360"/>
      <c r="F71" s="983"/>
      <c r="G71" s="295"/>
      <c r="H71" s="541"/>
      <c r="I71" s="989"/>
    </row>
    <row r="72" spans="1:9">
      <c r="A72" s="334">
        <f>MAX(A$1:A69)+1</f>
        <v>11</v>
      </c>
      <c r="B72" s="328"/>
      <c r="C72" s="725" t="s">
        <v>1751</v>
      </c>
      <c r="D72" s="196"/>
      <c r="E72" s="251" t="s">
        <v>1752</v>
      </c>
      <c r="F72" s="264"/>
      <c r="G72" s="286" t="s">
        <v>33</v>
      </c>
      <c r="H72" s="722">
        <v>1</v>
      </c>
    </row>
    <row r="73" spans="1:9" ht="12.75" customHeight="1">
      <c r="A73" s="290"/>
      <c r="B73" s="328"/>
      <c r="C73" s="344"/>
      <c r="D73" s="199" t="s">
        <v>1753</v>
      </c>
      <c r="E73" s="167" t="s">
        <v>1754</v>
      </c>
      <c r="F73" s="212"/>
      <c r="G73" s="295" t="s">
        <v>33</v>
      </c>
      <c r="H73" s="723">
        <v>1</v>
      </c>
    </row>
    <row r="74" spans="1:9">
      <c r="A74" s="290"/>
      <c r="B74" s="328"/>
      <c r="C74" s="344"/>
      <c r="D74" s="199"/>
      <c r="E74" s="77" t="s">
        <v>2463</v>
      </c>
      <c r="F74" s="212">
        <v>1</v>
      </c>
      <c r="G74" s="295"/>
      <c r="H74" s="723"/>
    </row>
    <row r="75" spans="1:9" customFormat="1" ht="24.75" customHeight="1" thickBot="1">
      <c r="A75" s="459"/>
      <c r="B75" s="460"/>
      <c r="C75" s="391"/>
      <c r="D75" s="461"/>
      <c r="E75" s="462"/>
      <c r="F75" s="524"/>
      <c r="G75" s="525"/>
      <c r="H75" s="574"/>
      <c r="I75" s="410"/>
    </row>
    <row r="76" spans="1:9" customFormat="1" ht="24.75" customHeight="1">
      <c r="A76" s="526"/>
      <c r="B76" s="527"/>
      <c r="C76" s="344"/>
      <c r="D76" s="519"/>
      <c r="E76" s="129"/>
      <c r="F76" s="131"/>
      <c r="G76" s="326"/>
      <c r="H76" s="528"/>
    </row>
  </sheetData>
  <sheetProtection algorithmName="SHA-512" hashValue="BzV1w7hm2AVJK+cD/hIUtBBHVyKtL1+df+tm1N6Ay1lMzW0hpT1xdkxnG/+YCzNSLXNEHlXRNJQzxYm1Y9eCEQ==" saltValue="j4ic2ssPd40xZPkIEYYdf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77B0B-24A8-4D49-8613-6DCA336935A0}">
  <sheetPr codeName="Hárok23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247" width="9.140625" style="989"/>
    <col min="248" max="248" width="4.7109375" style="989" customWidth="1"/>
    <col min="249" max="249" width="9.28515625" style="989" customWidth="1"/>
    <col min="250" max="250" width="9" style="989" customWidth="1"/>
    <col min="251" max="251" width="10.85546875" style="989" customWidth="1"/>
    <col min="252" max="252" width="52.7109375" style="989" customWidth="1"/>
    <col min="253" max="253" width="9.85546875" style="989" customWidth="1"/>
    <col min="254" max="254" width="5.7109375" style="989" customWidth="1"/>
    <col min="255" max="255" width="10.140625" style="989" customWidth="1"/>
    <col min="256" max="257" width="10.7109375" style="989" customWidth="1"/>
    <col min="258" max="258" width="10.5703125" style="989" customWidth="1"/>
    <col min="259" max="503" width="9.140625" style="989"/>
    <col min="504" max="504" width="4.7109375" style="989" customWidth="1"/>
    <col min="505" max="505" width="9.28515625" style="989" customWidth="1"/>
    <col min="506" max="506" width="9" style="989" customWidth="1"/>
    <col min="507" max="507" width="10.85546875" style="989" customWidth="1"/>
    <col min="508" max="508" width="52.7109375" style="989" customWidth="1"/>
    <col min="509" max="509" width="9.85546875" style="989" customWidth="1"/>
    <col min="510" max="510" width="5.7109375" style="989" customWidth="1"/>
    <col min="511" max="511" width="10.140625" style="989" customWidth="1"/>
    <col min="512" max="513" width="10.7109375" style="989" customWidth="1"/>
    <col min="514" max="514" width="10.5703125" style="989" customWidth="1"/>
    <col min="515" max="759" width="9.140625" style="989"/>
    <col min="760" max="760" width="4.7109375" style="989" customWidth="1"/>
    <col min="761" max="761" width="9.28515625" style="989" customWidth="1"/>
    <col min="762" max="762" width="9" style="989" customWidth="1"/>
    <col min="763" max="763" width="10.85546875" style="989" customWidth="1"/>
    <col min="764" max="764" width="52.7109375" style="989" customWidth="1"/>
    <col min="765" max="765" width="9.85546875" style="989" customWidth="1"/>
    <col min="766" max="766" width="5.7109375" style="989" customWidth="1"/>
    <col min="767" max="767" width="10.140625" style="989" customWidth="1"/>
    <col min="768" max="769" width="10.7109375" style="989" customWidth="1"/>
    <col min="770" max="770" width="10.5703125" style="989" customWidth="1"/>
    <col min="771" max="1015" width="9.140625" style="989"/>
    <col min="1016" max="1016" width="4.7109375" style="989" customWidth="1"/>
    <col min="1017" max="1017" width="9.28515625" style="989" customWidth="1"/>
    <col min="1018" max="1018" width="9" style="989" customWidth="1"/>
    <col min="1019" max="1019" width="10.85546875" style="989" customWidth="1"/>
    <col min="1020" max="1020" width="52.7109375" style="989" customWidth="1"/>
    <col min="1021" max="1021" width="9.85546875" style="989" customWidth="1"/>
    <col min="1022" max="1022" width="5.7109375" style="989" customWidth="1"/>
    <col min="1023" max="1023" width="10.140625" style="989" customWidth="1"/>
    <col min="1024" max="1025" width="10.7109375" style="989" customWidth="1"/>
    <col min="1026" max="1026" width="10.5703125" style="989" customWidth="1"/>
    <col min="1027" max="1271" width="9.140625" style="989"/>
    <col min="1272" max="1272" width="4.7109375" style="989" customWidth="1"/>
    <col min="1273" max="1273" width="9.28515625" style="989" customWidth="1"/>
    <col min="1274" max="1274" width="9" style="989" customWidth="1"/>
    <col min="1275" max="1275" width="10.85546875" style="989" customWidth="1"/>
    <col min="1276" max="1276" width="52.7109375" style="989" customWidth="1"/>
    <col min="1277" max="1277" width="9.85546875" style="989" customWidth="1"/>
    <col min="1278" max="1278" width="5.7109375" style="989" customWidth="1"/>
    <col min="1279" max="1279" width="10.140625" style="989" customWidth="1"/>
    <col min="1280" max="1281" width="10.7109375" style="989" customWidth="1"/>
    <col min="1282" max="1282" width="10.5703125" style="989" customWidth="1"/>
    <col min="1283" max="1527" width="9.140625" style="989"/>
    <col min="1528" max="1528" width="4.7109375" style="989" customWidth="1"/>
    <col min="1529" max="1529" width="9.28515625" style="989" customWidth="1"/>
    <col min="1530" max="1530" width="9" style="989" customWidth="1"/>
    <col min="1531" max="1531" width="10.85546875" style="989" customWidth="1"/>
    <col min="1532" max="1532" width="52.7109375" style="989" customWidth="1"/>
    <col min="1533" max="1533" width="9.85546875" style="989" customWidth="1"/>
    <col min="1534" max="1534" width="5.7109375" style="989" customWidth="1"/>
    <col min="1535" max="1535" width="10.140625" style="989" customWidth="1"/>
    <col min="1536" max="1537" width="10.7109375" style="989" customWidth="1"/>
    <col min="1538" max="1538" width="10.5703125" style="989" customWidth="1"/>
    <col min="1539" max="1783" width="9.140625" style="989"/>
    <col min="1784" max="1784" width="4.7109375" style="989" customWidth="1"/>
    <col min="1785" max="1785" width="9.28515625" style="989" customWidth="1"/>
    <col min="1786" max="1786" width="9" style="989" customWidth="1"/>
    <col min="1787" max="1787" width="10.85546875" style="989" customWidth="1"/>
    <col min="1788" max="1788" width="52.7109375" style="989" customWidth="1"/>
    <col min="1789" max="1789" width="9.85546875" style="989" customWidth="1"/>
    <col min="1790" max="1790" width="5.7109375" style="989" customWidth="1"/>
    <col min="1791" max="1791" width="10.140625" style="989" customWidth="1"/>
    <col min="1792" max="1793" width="10.7109375" style="989" customWidth="1"/>
    <col min="1794" max="1794" width="10.5703125" style="989" customWidth="1"/>
    <col min="1795" max="2039" width="9.140625" style="989"/>
    <col min="2040" max="2040" width="4.7109375" style="989" customWidth="1"/>
    <col min="2041" max="2041" width="9.28515625" style="989" customWidth="1"/>
    <col min="2042" max="2042" width="9" style="989" customWidth="1"/>
    <col min="2043" max="2043" width="10.85546875" style="989" customWidth="1"/>
    <col min="2044" max="2044" width="52.7109375" style="989" customWidth="1"/>
    <col min="2045" max="2045" width="9.85546875" style="989" customWidth="1"/>
    <col min="2046" max="2046" width="5.7109375" style="989" customWidth="1"/>
    <col min="2047" max="2047" width="10.140625" style="989" customWidth="1"/>
    <col min="2048" max="2049" width="10.7109375" style="989" customWidth="1"/>
    <col min="2050" max="2050" width="10.5703125" style="989" customWidth="1"/>
    <col min="2051" max="2295" width="9.140625" style="989"/>
    <col min="2296" max="2296" width="4.7109375" style="989" customWidth="1"/>
    <col min="2297" max="2297" width="9.28515625" style="989" customWidth="1"/>
    <col min="2298" max="2298" width="9" style="989" customWidth="1"/>
    <col min="2299" max="2299" width="10.85546875" style="989" customWidth="1"/>
    <col min="2300" max="2300" width="52.7109375" style="989" customWidth="1"/>
    <col min="2301" max="2301" width="9.85546875" style="989" customWidth="1"/>
    <col min="2302" max="2302" width="5.7109375" style="989" customWidth="1"/>
    <col min="2303" max="2303" width="10.140625" style="989" customWidth="1"/>
    <col min="2304" max="2305" width="10.7109375" style="989" customWidth="1"/>
    <col min="2306" max="2306" width="10.5703125" style="989" customWidth="1"/>
    <col min="2307" max="2551" width="9.140625" style="989"/>
    <col min="2552" max="2552" width="4.7109375" style="989" customWidth="1"/>
    <col min="2553" max="2553" width="9.28515625" style="989" customWidth="1"/>
    <col min="2554" max="2554" width="9" style="989" customWidth="1"/>
    <col min="2555" max="2555" width="10.85546875" style="989" customWidth="1"/>
    <col min="2556" max="2556" width="52.7109375" style="989" customWidth="1"/>
    <col min="2557" max="2557" width="9.85546875" style="989" customWidth="1"/>
    <col min="2558" max="2558" width="5.7109375" style="989" customWidth="1"/>
    <col min="2559" max="2559" width="10.140625" style="989" customWidth="1"/>
    <col min="2560" max="2561" width="10.7109375" style="989" customWidth="1"/>
    <col min="2562" max="2562" width="10.5703125" style="989" customWidth="1"/>
    <col min="2563" max="2807" width="9.140625" style="989"/>
    <col min="2808" max="2808" width="4.7109375" style="989" customWidth="1"/>
    <col min="2809" max="2809" width="9.28515625" style="989" customWidth="1"/>
    <col min="2810" max="2810" width="9" style="989" customWidth="1"/>
    <col min="2811" max="2811" width="10.85546875" style="989" customWidth="1"/>
    <col min="2812" max="2812" width="52.7109375" style="989" customWidth="1"/>
    <col min="2813" max="2813" width="9.85546875" style="989" customWidth="1"/>
    <col min="2814" max="2814" width="5.7109375" style="989" customWidth="1"/>
    <col min="2815" max="2815" width="10.140625" style="989" customWidth="1"/>
    <col min="2816" max="2817" width="10.7109375" style="989" customWidth="1"/>
    <col min="2818" max="2818" width="10.5703125" style="989" customWidth="1"/>
    <col min="2819" max="3063" width="9.140625" style="989"/>
    <col min="3064" max="3064" width="4.7109375" style="989" customWidth="1"/>
    <col min="3065" max="3065" width="9.28515625" style="989" customWidth="1"/>
    <col min="3066" max="3066" width="9" style="989" customWidth="1"/>
    <col min="3067" max="3067" width="10.85546875" style="989" customWidth="1"/>
    <col min="3068" max="3068" width="52.7109375" style="989" customWidth="1"/>
    <col min="3069" max="3069" width="9.85546875" style="989" customWidth="1"/>
    <col min="3070" max="3070" width="5.7109375" style="989" customWidth="1"/>
    <col min="3071" max="3071" width="10.140625" style="989" customWidth="1"/>
    <col min="3072" max="3073" width="10.7109375" style="989" customWidth="1"/>
    <col min="3074" max="3074" width="10.5703125" style="989" customWidth="1"/>
    <col min="3075" max="3319" width="9.140625" style="989"/>
    <col min="3320" max="3320" width="4.7109375" style="989" customWidth="1"/>
    <col min="3321" max="3321" width="9.28515625" style="989" customWidth="1"/>
    <col min="3322" max="3322" width="9" style="989" customWidth="1"/>
    <col min="3323" max="3323" width="10.85546875" style="989" customWidth="1"/>
    <col min="3324" max="3324" width="52.7109375" style="989" customWidth="1"/>
    <col min="3325" max="3325" width="9.85546875" style="989" customWidth="1"/>
    <col min="3326" max="3326" width="5.7109375" style="989" customWidth="1"/>
    <col min="3327" max="3327" width="10.140625" style="989" customWidth="1"/>
    <col min="3328" max="3329" width="10.7109375" style="989" customWidth="1"/>
    <col min="3330" max="3330" width="10.5703125" style="989" customWidth="1"/>
    <col min="3331" max="3575" width="9.140625" style="989"/>
    <col min="3576" max="3576" width="4.7109375" style="989" customWidth="1"/>
    <col min="3577" max="3577" width="9.28515625" style="989" customWidth="1"/>
    <col min="3578" max="3578" width="9" style="989" customWidth="1"/>
    <col min="3579" max="3579" width="10.85546875" style="989" customWidth="1"/>
    <col min="3580" max="3580" width="52.7109375" style="989" customWidth="1"/>
    <col min="3581" max="3581" width="9.85546875" style="989" customWidth="1"/>
    <col min="3582" max="3582" width="5.7109375" style="989" customWidth="1"/>
    <col min="3583" max="3583" width="10.140625" style="989" customWidth="1"/>
    <col min="3584" max="3585" width="10.7109375" style="989" customWidth="1"/>
    <col min="3586" max="3586" width="10.5703125" style="989" customWidth="1"/>
    <col min="3587" max="3831" width="9.140625" style="989"/>
    <col min="3832" max="3832" width="4.7109375" style="989" customWidth="1"/>
    <col min="3833" max="3833" width="9.28515625" style="989" customWidth="1"/>
    <col min="3834" max="3834" width="9" style="989" customWidth="1"/>
    <col min="3835" max="3835" width="10.85546875" style="989" customWidth="1"/>
    <col min="3836" max="3836" width="52.7109375" style="989" customWidth="1"/>
    <col min="3837" max="3837" width="9.85546875" style="989" customWidth="1"/>
    <col min="3838" max="3838" width="5.7109375" style="989" customWidth="1"/>
    <col min="3839" max="3839" width="10.140625" style="989" customWidth="1"/>
    <col min="3840" max="3841" width="10.7109375" style="989" customWidth="1"/>
    <col min="3842" max="3842" width="10.5703125" style="989" customWidth="1"/>
    <col min="3843" max="4087" width="9.140625" style="989"/>
    <col min="4088" max="4088" width="4.7109375" style="989" customWidth="1"/>
    <col min="4089" max="4089" width="9.28515625" style="989" customWidth="1"/>
    <col min="4090" max="4090" width="9" style="989" customWidth="1"/>
    <col min="4091" max="4091" width="10.85546875" style="989" customWidth="1"/>
    <col min="4092" max="4092" width="52.7109375" style="989" customWidth="1"/>
    <col min="4093" max="4093" width="9.85546875" style="989" customWidth="1"/>
    <col min="4094" max="4094" width="5.7109375" style="989" customWidth="1"/>
    <col min="4095" max="4095" width="10.140625" style="989" customWidth="1"/>
    <col min="4096" max="4097" width="10.7109375" style="989" customWidth="1"/>
    <col min="4098" max="4098" width="10.5703125" style="989" customWidth="1"/>
    <col min="4099" max="4343" width="9.140625" style="989"/>
    <col min="4344" max="4344" width="4.7109375" style="989" customWidth="1"/>
    <col min="4345" max="4345" width="9.28515625" style="989" customWidth="1"/>
    <col min="4346" max="4346" width="9" style="989" customWidth="1"/>
    <col min="4347" max="4347" width="10.85546875" style="989" customWidth="1"/>
    <col min="4348" max="4348" width="52.7109375" style="989" customWidth="1"/>
    <col min="4349" max="4349" width="9.85546875" style="989" customWidth="1"/>
    <col min="4350" max="4350" width="5.7109375" style="989" customWidth="1"/>
    <col min="4351" max="4351" width="10.140625" style="989" customWidth="1"/>
    <col min="4352" max="4353" width="10.7109375" style="989" customWidth="1"/>
    <col min="4354" max="4354" width="10.5703125" style="989" customWidth="1"/>
    <col min="4355" max="4599" width="9.140625" style="989"/>
    <col min="4600" max="4600" width="4.7109375" style="989" customWidth="1"/>
    <col min="4601" max="4601" width="9.28515625" style="989" customWidth="1"/>
    <col min="4602" max="4602" width="9" style="989" customWidth="1"/>
    <col min="4603" max="4603" width="10.85546875" style="989" customWidth="1"/>
    <col min="4604" max="4604" width="52.7109375" style="989" customWidth="1"/>
    <col min="4605" max="4605" width="9.85546875" style="989" customWidth="1"/>
    <col min="4606" max="4606" width="5.7109375" style="989" customWidth="1"/>
    <col min="4607" max="4607" width="10.140625" style="989" customWidth="1"/>
    <col min="4608" max="4609" width="10.7109375" style="989" customWidth="1"/>
    <col min="4610" max="4610" width="10.5703125" style="989" customWidth="1"/>
    <col min="4611" max="4855" width="9.140625" style="989"/>
    <col min="4856" max="4856" width="4.7109375" style="989" customWidth="1"/>
    <col min="4857" max="4857" width="9.28515625" style="989" customWidth="1"/>
    <col min="4858" max="4858" width="9" style="989" customWidth="1"/>
    <col min="4859" max="4859" width="10.85546875" style="989" customWidth="1"/>
    <col min="4860" max="4860" width="52.7109375" style="989" customWidth="1"/>
    <col min="4861" max="4861" width="9.85546875" style="989" customWidth="1"/>
    <col min="4862" max="4862" width="5.7109375" style="989" customWidth="1"/>
    <col min="4863" max="4863" width="10.140625" style="989" customWidth="1"/>
    <col min="4864" max="4865" width="10.7109375" style="989" customWidth="1"/>
    <col min="4866" max="4866" width="10.5703125" style="989" customWidth="1"/>
    <col min="4867" max="5111" width="9.140625" style="989"/>
    <col min="5112" max="5112" width="4.7109375" style="989" customWidth="1"/>
    <col min="5113" max="5113" width="9.28515625" style="989" customWidth="1"/>
    <col min="5114" max="5114" width="9" style="989" customWidth="1"/>
    <col min="5115" max="5115" width="10.85546875" style="989" customWidth="1"/>
    <col min="5116" max="5116" width="52.7109375" style="989" customWidth="1"/>
    <col min="5117" max="5117" width="9.85546875" style="989" customWidth="1"/>
    <col min="5118" max="5118" width="5.7109375" style="989" customWidth="1"/>
    <col min="5119" max="5119" width="10.140625" style="989" customWidth="1"/>
    <col min="5120" max="5121" width="10.7109375" style="989" customWidth="1"/>
    <col min="5122" max="5122" width="10.5703125" style="989" customWidth="1"/>
    <col min="5123" max="5367" width="9.140625" style="989"/>
    <col min="5368" max="5368" width="4.7109375" style="989" customWidth="1"/>
    <col min="5369" max="5369" width="9.28515625" style="989" customWidth="1"/>
    <col min="5370" max="5370" width="9" style="989" customWidth="1"/>
    <col min="5371" max="5371" width="10.85546875" style="989" customWidth="1"/>
    <col min="5372" max="5372" width="52.7109375" style="989" customWidth="1"/>
    <col min="5373" max="5373" width="9.85546875" style="989" customWidth="1"/>
    <col min="5374" max="5374" width="5.7109375" style="989" customWidth="1"/>
    <col min="5375" max="5375" width="10.140625" style="989" customWidth="1"/>
    <col min="5376" max="5377" width="10.7109375" style="989" customWidth="1"/>
    <col min="5378" max="5378" width="10.5703125" style="989" customWidth="1"/>
    <col min="5379" max="5623" width="9.140625" style="989"/>
    <col min="5624" max="5624" width="4.7109375" style="989" customWidth="1"/>
    <col min="5625" max="5625" width="9.28515625" style="989" customWidth="1"/>
    <col min="5626" max="5626" width="9" style="989" customWidth="1"/>
    <col min="5627" max="5627" width="10.85546875" style="989" customWidth="1"/>
    <col min="5628" max="5628" width="52.7109375" style="989" customWidth="1"/>
    <col min="5629" max="5629" width="9.85546875" style="989" customWidth="1"/>
    <col min="5630" max="5630" width="5.7109375" style="989" customWidth="1"/>
    <col min="5631" max="5631" width="10.140625" style="989" customWidth="1"/>
    <col min="5632" max="5633" width="10.7109375" style="989" customWidth="1"/>
    <col min="5634" max="5634" width="10.5703125" style="989" customWidth="1"/>
    <col min="5635" max="5879" width="9.140625" style="989"/>
    <col min="5880" max="5880" width="4.7109375" style="989" customWidth="1"/>
    <col min="5881" max="5881" width="9.28515625" style="989" customWidth="1"/>
    <col min="5882" max="5882" width="9" style="989" customWidth="1"/>
    <col min="5883" max="5883" width="10.85546875" style="989" customWidth="1"/>
    <col min="5884" max="5884" width="52.7109375" style="989" customWidth="1"/>
    <col min="5885" max="5885" width="9.85546875" style="989" customWidth="1"/>
    <col min="5886" max="5886" width="5.7109375" style="989" customWidth="1"/>
    <col min="5887" max="5887" width="10.140625" style="989" customWidth="1"/>
    <col min="5888" max="5889" width="10.7109375" style="989" customWidth="1"/>
    <col min="5890" max="5890" width="10.5703125" style="989" customWidth="1"/>
    <col min="5891" max="6135" width="9.140625" style="989"/>
    <col min="6136" max="6136" width="4.7109375" style="989" customWidth="1"/>
    <col min="6137" max="6137" width="9.28515625" style="989" customWidth="1"/>
    <col min="6138" max="6138" width="9" style="989" customWidth="1"/>
    <col min="6139" max="6139" width="10.85546875" style="989" customWidth="1"/>
    <col min="6140" max="6140" width="52.7109375" style="989" customWidth="1"/>
    <col min="6141" max="6141" width="9.85546875" style="989" customWidth="1"/>
    <col min="6142" max="6142" width="5.7109375" style="989" customWidth="1"/>
    <col min="6143" max="6143" width="10.140625" style="989" customWidth="1"/>
    <col min="6144" max="6145" width="10.7109375" style="989" customWidth="1"/>
    <col min="6146" max="6146" width="10.5703125" style="989" customWidth="1"/>
    <col min="6147" max="6391" width="9.140625" style="989"/>
    <col min="6392" max="6392" width="4.7109375" style="989" customWidth="1"/>
    <col min="6393" max="6393" width="9.28515625" style="989" customWidth="1"/>
    <col min="6394" max="6394" width="9" style="989" customWidth="1"/>
    <col min="6395" max="6395" width="10.85546875" style="989" customWidth="1"/>
    <col min="6396" max="6396" width="52.7109375" style="989" customWidth="1"/>
    <col min="6397" max="6397" width="9.85546875" style="989" customWidth="1"/>
    <col min="6398" max="6398" width="5.7109375" style="989" customWidth="1"/>
    <col min="6399" max="6399" width="10.140625" style="989" customWidth="1"/>
    <col min="6400" max="6401" width="10.7109375" style="989" customWidth="1"/>
    <col min="6402" max="6402" width="10.5703125" style="989" customWidth="1"/>
    <col min="6403" max="6647" width="9.140625" style="989"/>
    <col min="6648" max="6648" width="4.7109375" style="989" customWidth="1"/>
    <col min="6649" max="6649" width="9.28515625" style="989" customWidth="1"/>
    <col min="6650" max="6650" width="9" style="989" customWidth="1"/>
    <col min="6651" max="6651" width="10.85546875" style="989" customWidth="1"/>
    <col min="6652" max="6652" width="52.7109375" style="989" customWidth="1"/>
    <col min="6653" max="6653" width="9.85546875" style="989" customWidth="1"/>
    <col min="6654" max="6654" width="5.7109375" style="989" customWidth="1"/>
    <col min="6655" max="6655" width="10.140625" style="989" customWidth="1"/>
    <col min="6656" max="6657" width="10.7109375" style="989" customWidth="1"/>
    <col min="6658" max="6658" width="10.5703125" style="989" customWidth="1"/>
    <col min="6659" max="6903" width="9.140625" style="989"/>
    <col min="6904" max="6904" width="4.7109375" style="989" customWidth="1"/>
    <col min="6905" max="6905" width="9.28515625" style="989" customWidth="1"/>
    <col min="6906" max="6906" width="9" style="989" customWidth="1"/>
    <col min="6907" max="6907" width="10.85546875" style="989" customWidth="1"/>
    <col min="6908" max="6908" width="52.7109375" style="989" customWidth="1"/>
    <col min="6909" max="6909" width="9.85546875" style="989" customWidth="1"/>
    <col min="6910" max="6910" width="5.7109375" style="989" customWidth="1"/>
    <col min="6911" max="6911" width="10.140625" style="989" customWidth="1"/>
    <col min="6912" max="6913" width="10.7109375" style="989" customWidth="1"/>
    <col min="6914" max="6914" width="10.5703125" style="989" customWidth="1"/>
    <col min="6915" max="7159" width="9.140625" style="989"/>
    <col min="7160" max="7160" width="4.7109375" style="989" customWidth="1"/>
    <col min="7161" max="7161" width="9.28515625" style="989" customWidth="1"/>
    <col min="7162" max="7162" width="9" style="989" customWidth="1"/>
    <col min="7163" max="7163" width="10.85546875" style="989" customWidth="1"/>
    <col min="7164" max="7164" width="52.7109375" style="989" customWidth="1"/>
    <col min="7165" max="7165" width="9.85546875" style="989" customWidth="1"/>
    <col min="7166" max="7166" width="5.7109375" style="989" customWidth="1"/>
    <col min="7167" max="7167" width="10.140625" style="989" customWidth="1"/>
    <col min="7168" max="7169" width="10.7109375" style="989" customWidth="1"/>
    <col min="7170" max="7170" width="10.5703125" style="989" customWidth="1"/>
    <col min="7171" max="7415" width="9.140625" style="989"/>
    <col min="7416" max="7416" width="4.7109375" style="989" customWidth="1"/>
    <col min="7417" max="7417" width="9.28515625" style="989" customWidth="1"/>
    <col min="7418" max="7418" width="9" style="989" customWidth="1"/>
    <col min="7419" max="7419" width="10.85546875" style="989" customWidth="1"/>
    <col min="7420" max="7420" width="52.7109375" style="989" customWidth="1"/>
    <col min="7421" max="7421" width="9.85546875" style="989" customWidth="1"/>
    <col min="7422" max="7422" width="5.7109375" style="989" customWidth="1"/>
    <col min="7423" max="7423" width="10.140625" style="989" customWidth="1"/>
    <col min="7424" max="7425" width="10.7109375" style="989" customWidth="1"/>
    <col min="7426" max="7426" width="10.5703125" style="989" customWidth="1"/>
    <col min="7427" max="7671" width="9.140625" style="989"/>
    <col min="7672" max="7672" width="4.7109375" style="989" customWidth="1"/>
    <col min="7673" max="7673" width="9.28515625" style="989" customWidth="1"/>
    <col min="7674" max="7674" width="9" style="989" customWidth="1"/>
    <col min="7675" max="7675" width="10.85546875" style="989" customWidth="1"/>
    <col min="7676" max="7676" width="52.7109375" style="989" customWidth="1"/>
    <col min="7677" max="7677" width="9.85546875" style="989" customWidth="1"/>
    <col min="7678" max="7678" width="5.7109375" style="989" customWidth="1"/>
    <col min="7679" max="7679" width="10.140625" style="989" customWidth="1"/>
    <col min="7680" max="7681" width="10.7109375" style="989" customWidth="1"/>
    <col min="7682" max="7682" width="10.5703125" style="989" customWidth="1"/>
    <col min="7683" max="7927" width="9.140625" style="989"/>
    <col min="7928" max="7928" width="4.7109375" style="989" customWidth="1"/>
    <col min="7929" max="7929" width="9.28515625" style="989" customWidth="1"/>
    <col min="7930" max="7930" width="9" style="989" customWidth="1"/>
    <col min="7931" max="7931" width="10.85546875" style="989" customWidth="1"/>
    <col min="7932" max="7932" width="52.7109375" style="989" customWidth="1"/>
    <col min="7933" max="7933" width="9.85546875" style="989" customWidth="1"/>
    <col min="7934" max="7934" width="5.7109375" style="989" customWidth="1"/>
    <col min="7935" max="7935" width="10.140625" style="989" customWidth="1"/>
    <col min="7936" max="7937" width="10.7109375" style="989" customWidth="1"/>
    <col min="7938" max="7938" width="10.5703125" style="989" customWidth="1"/>
    <col min="7939" max="8183" width="9.140625" style="989"/>
    <col min="8184" max="8184" width="4.7109375" style="989" customWidth="1"/>
    <col min="8185" max="8185" width="9.28515625" style="989" customWidth="1"/>
    <col min="8186" max="8186" width="9" style="989" customWidth="1"/>
    <col min="8187" max="8187" width="10.85546875" style="989" customWidth="1"/>
    <col min="8188" max="8188" width="52.7109375" style="989" customWidth="1"/>
    <col min="8189" max="8189" width="9.85546875" style="989" customWidth="1"/>
    <col min="8190" max="8190" width="5.7109375" style="989" customWidth="1"/>
    <col min="8191" max="8191" width="10.140625" style="989" customWidth="1"/>
    <col min="8192" max="8193" width="10.7109375" style="989" customWidth="1"/>
    <col min="8194" max="8194" width="10.5703125" style="989" customWidth="1"/>
    <col min="8195" max="8439" width="9.140625" style="989"/>
    <col min="8440" max="8440" width="4.7109375" style="989" customWidth="1"/>
    <col min="8441" max="8441" width="9.28515625" style="989" customWidth="1"/>
    <col min="8442" max="8442" width="9" style="989" customWidth="1"/>
    <col min="8443" max="8443" width="10.85546875" style="989" customWidth="1"/>
    <col min="8444" max="8444" width="52.7109375" style="989" customWidth="1"/>
    <col min="8445" max="8445" width="9.85546875" style="989" customWidth="1"/>
    <col min="8446" max="8446" width="5.7109375" style="989" customWidth="1"/>
    <col min="8447" max="8447" width="10.140625" style="989" customWidth="1"/>
    <col min="8448" max="8449" width="10.7109375" style="989" customWidth="1"/>
    <col min="8450" max="8450" width="10.5703125" style="989" customWidth="1"/>
    <col min="8451" max="8695" width="9.140625" style="989"/>
    <col min="8696" max="8696" width="4.7109375" style="989" customWidth="1"/>
    <col min="8697" max="8697" width="9.28515625" style="989" customWidth="1"/>
    <col min="8698" max="8698" width="9" style="989" customWidth="1"/>
    <col min="8699" max="8699" width="10.85546875" style="989" customWidth="1"/>
    <col min="8700" max="8700" width="52.7109375" style="989" customWidth="1"/>
    <col min="8701" max="8701" width="9.85546875" style="989" customWidth="1"/>
    <col min="8702" max="8702" width="5.7109375" style="989" customWidth="1"/>
    <col min="8703" max="8703" width="10.140625" style="989" customWidth="1"/>
    <col min="8704" max="8705" width="10.7109375" style="989" customWidth="1"/>
    <col min="8706" max="8706" width="10.5703125" style="989" customWidth="1"/>
    <col min="8707" max="8951" width="9.140625" style="989"/>
    <col min="8952" max="8952" width="4.7109375" style="989" customWidth="1"/>
    <col min="8953" max="8953" width="9.28515625" style="989" customWidth="1"/>
    <col min="8954" max="8954" width="9" style="989" customWidth="1"/>
    <col min="8955" max="8955" width="10.85546875" style="989" customWidth="1"/>
    <col min="8956" max="8956" width="52.7109375" style="989" customWidth="1"/>
    <col min="8957" max="8957" width="9.85546875" style="989" customWidth="1"/>
    <col min="8958" max="8958" width="5.7109375" style="989" customWidth="1"/>
    <col min="8959" max="8959" width="10.140625" style="989" customWidth="1"/>
    <col min="8960" max="8961" width="10.7109375" style="989" customWidth="1"/>
    <col min="8962" max="8962" width="10.5703125" style="989" customWidth="1"/>
    <col min="8963" max="9207" width="9.140625" style="989"/>
    <col min="9208" max="9208" width="4.7109375" style="989" customWidth="1"/>
    <col min="9209" max="9209" width="9.28515625" style="989" customWidth="1"/>
    <col min="9210" max="9210" width="9" style="989" customWidth="1"/>
    <col min="9211" max="9211" width="10.85546875" style="989" customWidth="1"/>
    <col min="9212" max="9212" width="52.7109375" style="989" customWidth="1"/>
    <col min="9213" max="9213" width="9.85546875" style="989" customWidth="1"/>
    <col min="9214" max="9214" width="5.7109375" style="989" customWidth="1"/>
    <col min="9215" max="9215" width="10.140625" style="989" customWidth="1"/>
    <col min="9216" max="9217" width="10.7109375" style="989" customWidth="1"/>
    <col min="9218" max="9218" width="10.5703125" style="989" customWidth="1"/>
    <col min="9219" max="9463" width="9.140625" style="989"/>
    <col min="9464" max="9464" width="4.7109375" style="989" customWidth="1"/>
    <col min="9465" max="9465" width="9.28515625" style="989" customWidth="1"/>
    <col min="9466" max="9466" width="9" style="989" customWidth="1"/>
    <col min="9467" max="9467" width="10.85546875" style="989" customWidth="1"/>
    <col min="9468" max="9468" width="52.7109375" style="989" customWidth="1"/>
    <col min="9469" max="9469" width="9.85546875" style="989" customWidth="1"/>
    <col min="9470" max="9470" width="5.7109375" style="989" customWidth="1"/>
    <col min="9471" max="9471" width="10.140625" style="989" customWidth="1"/>
    <col min="9472" max="9473" width="10.7109375" style="989" customWidth="1"/>
    <col min="9474" max="9474" width="10.5703125" style="989" customWidth="1"/>
    <col min="9475" max="9719" width="9.140625" style="989"/>
    <col min="9720" max="9720" width="4.7109375" style="989" customWidth="1"/>
    <col min="9721" max="9721" width="9.28515625" style="989" customWidth="1"/>
    <col min="9722" max="9722" width="9" style="989" customWidth="1"/>
    <col min="9723" max="9723" width="10.85546875" style="989" customWidth="1"/>
    <col min="9724" max="9724" width="52.7109375" style="989" customWidth="1"/>
    <col min="9725" max="9725" width="9.85546875" style="989" customWidth="1"/>
    <col min="9726" max="9726" width="5.7109375" style="989" customWidth="1"/>
    <col min="9727" max="9727" width="10.140625" style="989" customWidth="1"/>
    <col min="9728" max="9729" width="10.7109375" style="989" customWidth="1"/>
    <col min="9730" max="9730" width="10.5703125" style="989" customWidth="1"/>
    <col min="9731" max="9975" width="9.140625" style="989"/>
    <col min="9976" max="9976" width="4.7109375" style="989" customWidth="1"/>
    <col min="9977" max="9977" width="9.28515625" style="989" customWidth="1"/>
    <col min="9978" max="9978" width="9" style="989" customWidth="1"/>
    <col min="9979" max="9979" width="10.85546875" style="989" customWidth="1"/>
    <col min="9980" max="9980" width="52.7109375" style="989" customWidth="1"/>
    <col min="9981" max="9981" width="9.85546875" style="989" customWidth="1"/>
    <col min="9982" max="9982" width="5.7109375" style="989" customWidth="1"/>
    <col min="9983" max="9983" width="10.140625" style="989" customWidth="1"/>
    <col min="9984" max="9985" width="10.7109375" style="989" customWidth="1"/>
    <col min="9986" max="9986" width="10.5703125" style="989" customWidth="1"/>
    <col min="9987" max="10231" width="9.140625" style="989"/>
    <col min="10232" max="10232" width="4.7109375" style="989" customWidth="1"/>
    <col min="10233" max="10233" width="9.28515625" style="989" customWidth="1"/>
    <col min="10234" max="10234" width="9" style="989" customWidth="1"/>
    <col min="10235" max="10235" width="10.85546875" style="989" customWidth="1"/>
    <col min="10236" max="10236" width="52.7109375" style="989" customWidth="1"/>
    <col min="10237" max="10237" width="9.85546875" style="989" customWidth="1"/>
    <col min="10238" max="10238" width="5.7109375" style="989" customWidth="1"/>
    <col min="10239" max="10239" width="10.140625" style="989" customWidth="1"/>
    <col min="10240" max="10241" width="10.7109375" style="989" customWidth="1"/>
    <col min="10242" max="10242" width="10.5703125" style="989" customWidth="1"/>
    <col min="10243" max="10487" width="9.140625" style="989"/>
    <col min="10488" max="10488" width="4.7109375" style="989" customWidth="1"/>
    <col min="10489" max="10489" width="9.28515625" style="989" customWidth="1"/>
    <col min="10490" max="10490" width="9" style="989" customWidth="1"/>
    <col min="10491" max="10491" width="10.85546875" style="989" customWidth="1"/>
    <col min="10492" max="10492" width="52.7109375" style="989" customWidth="1"/>
    <col min="10493" max="10493" width="9.85546875" style="989" customWidth="1"/>
    <col min="10494" max="10494" width="5.7109375" style="989" customWidth="1"/>
    <col min="10495" max="10495" width="10.140625" style="989" customWidth="1"/>
    <col min="10496" max="10497" width="10.7109375" style="989" customWidth="1"/>
    <col min="10498" max="10498" width="10.5703125" style="989" customWidth="1"/>
    <col min="10499" max="10743" width="9.140625" style="989"/>
    <col min="10744" max="10744" width="4.7109375" style="989" customWidth="1"/>
    <col min="10745" max="10745" width="9.28515625" style="989" customWidth="1"/>
    <col min="10746" max="10746" width="9" style="989" customWidth="1"/>
    <col min="10747" max="10747" width="10.85546875" style="989" customWidth="1"/>
    <col min="10748" max="10748" width="52.7109375" style="989" customWidth="1"/>
    <col min="10749" max="10749" width="9.85546875" style="989" customWidth="1"/>
    <col min="10750" max="10750" width="5.7109375" style="989" customWidth="1"/>
    <col min="10751" max="10751" width="10.140625" style="989" customWidth="1"/>
    <col min="10752" max="10753" width="10.7109375" style="989" customWidth="1"/>
    <col min="10754" max="10754" width="10.5703125" style="989" customWidth="1"/>
    <col min="10755" max="10999" width="9.140625" style="989"/>
    <col min="11000" max="11000" width="4.7109375" style="989" customWidth="1"/>
    <col min="11001" max="11001" width="9.28515625" style="989" customWidth="1"/>
    <col min="11002" max="11002" width="9" style="989" customWidth="1"/>
    <col min="11003" max="11003" width="10.85546875" style="989" customWidth="1"/>
    <col min="11004" max="11004" width="52.7109375" style="989" customWidth="1"/>
    <col min="11005" max="11005" width="9.85546875" style="989" customWidth="1"/>
    <col min="11006" max="11006" width="5.7109375" style="989" customWidth="1"/>
    <col min="11007" max="11007" width="10.140625" style="989" customWidth="1"/>
    <col min="11008" max="11009" width="10.7109375" style="989" customWidth="1"/>
    <col min="11010" max="11010" width="10.5703125" style="989" customWidth="1"/>
    <col min="11011" max="11255" width="9.140625" style="989"/>
    <col min="11256" max="11256" width="4.7109375" style="989" customWidth="1"/>
    <col min="11257" max="11257" width="9.28515625" style="989" customWidth="1"/>
    <col min="11258" max="11258" width="9" style="989" customWidth="1"/>
    <col min="11259" max="11259" width="10.85546875" style="989" customWidth="1"/>
    <col min="11260" max="11260" width="52.7109375" style="989" customWidth="1"/>
    <col min="11261" max="11261" width="9.85546875" style="989" customWidth="1"/>
    <col min="11262" max="11262" width="5.7109375" style="989" customWidth="1"/>
    <col min="11263" max="11263" width="10.140625" style="989" customWidth="1"/>
    <col min="11264" max="11265" width="10.7109375" style="989" customWidth="1"/>
    <col min="11266" max="11266" width="10.5703125" style="989" customWidth="1"/>
    <col min="11267" max="11511" width="9.140625" style="989"/>
    <col min="11512" max="11512" width="4.7109375" style="989" customWidth="1"/>
    <col min="11513" max="11513" width="9.28515625" style="989" customWidth="1"/>
    <col min="11514" max="11514" width="9" style="989" customWidth="1"/>
    <col min="11515" max="11515" width="10.85546875" style="989" customWidth="1"/>
    <col min="11516" max="11516" width="52.7109375" style="989" customWidth="1"/>
    <col min="11517" max="11517" width="9.85546875" style="989" customWidth="1"/>
    <col min="11518" max="11518" width="5.7109375" style="989" customWidth="1"/>
    <col min="11519" max="11519" width="10.140625" style="989" customWidth="1"/>
    <col min="11520" max="11521" width="10.7109375" style="989" customWidth="1"/>
    <col min="11522" max="11522" width="10.5703125" style="989" customWidth="1"/>
    <col min="11523" max="11767" width="9.140625" style="989"/>
    <col min="11768" max="11768" width="4.7109375" style="989" customWidth="1"/>
    <col min="11769" max="11769" width="9.28515625" style="989" customWidth="1"/>
    <col min="11770" max="11770" width="9" style="989" customWidth="1"/>
    <col min="11771" max="11771" width="10.85546875" style="989" customWidth="1"/>
    <col min="11772" max="11772" width="52.7109375" style="989" customWidth="1"/>
    <col min="11773" max="11773" width="9.85546875" style="989" customWidth="1"/>
    <col min="11774" max="11774" width="5.7109375" style="989" customWidth="1"/>
    <col min="11775" max="11775" width="10.140625" style="989" customWidth="1"/>
    <col min="11776" max="11777" width="10.7109375" style="989" customWidth="1"/>
    <col min="11778" max="11778" width="10.5703125" style="989" customWidth="1"/>
    <col min="11779" max="12023" width="9.140625" style="989"/>
    <col min="12024" max="12024" width="4.7109375" style="989" customWidth="1"/>
    <col min="12025" max="12025" width="9.28515625" style="989" customWidth="1"/>
    <col min="12026" max="12026" width="9" style="989" customWidth="1"/>
    <col min="12027" max="12027" width="10.85546875" style="989" customWidth="1"/>
    <col min="12028" max="12028" width="52.7109375" style="989" customWidth="1"/>
    <col min="12029" max="12029" width="9.85546875" style="989" customWidth="1"/>
    <col min="12030" max="12030" width="5.7109375" style="989" customWidth="1"/>
    <col min="12031" max="12031" width="10.140625" style="989" customWidth="1"/>
    <col min="12032" max="12033" width="10.7109375" style="989" customWidth="1"/>
    <col min="12034" max="12034" width="10.5703125" style="989" customWidth="1"/>
    <col min="12035" max="12279" width="9.140625" style="989"/>
    <col min="12280" max="12280" width="4.7109375" style="989" customWidth="1"/>
    <col min="12281" max="12281" width="9.28515625" style="989" customWidth="1"/>
    <col min="12282" max="12282" width="9" style="989" customWidth="1"/>
    <col min="12283" max="12283" width="10.85546875" style="989" customWidth="1"/>
    <col min="12284" max="12284" width="52.7109375" style="989" customWidth="1"/>
    <col min="12285" max="12285" width="9.85546875" style="989" customWidth="1"/>
    <col min="12286" max="12286" width="5.7109375" style="989" customWidth="1"/>
    <col min="12287" max="12287" width="10.140625" style="989" customWidth="1"/>
    <col min="12288" max="12289" width="10.7109375" style="989" customWidth="1"/>
    <col min="12290" max="12290" width="10.5703125" style="989" customWidth="1"/>
    <col min="12291" max="12535" width="9.140625" style="989"/>
    <col min="12536" max="12536" width="4.7109375" style="989" customWidth="1"/>
    <col min="12537" max="12537" width="9.28515625" style="989" customWidth="1"/>
    <col min="12538" max="12538" width="9" style="989" customWidth="1"/>
    <col min="12539" max="12539" width="10.85546875" style="989" customWidth="1"/>
    <col min="12540" max="12540" width="52.7109375" style="989" customWidth="1"/>
    <col min="12541" max="12541" width="9.85546875" style="989" customWidth="1"/>
    <col min="12542" max="12542" width="5.7109375" style="989" customWidth="1"/>
    <col min="12543" max="12543" width="10.140625" style="989" customWidth="1"/>
    <col min="12544" max="12545" width="10.7109375" style="989" customWidth="1"/>
    <col min="12546" max="12546" width="10.5703125" style="989" customWidth="1"/>
    <col min="12547" max="12791" width="9.140625" style="989"/>
    <col min="12792" max="12792" width="4.7109375" style="989" customWidth="1"/>
    <col min="12793" max="12793" width="9.28515625" style="989" customWidth="1"/>
    <col min="12794" max="12794" width="9" style="989" customWidth="1"/>
    <col min="12795" max="12795" width="10.85546875" style="989" customWidth="1"/>
    <col min="12796" max="12796" width="52.7109375" style="989" customWidth="1"/>
    <col min="12797" max="12797" width="9.85546875" style="989" customWidth="1"/>
    <col min="12798" max="12798" width="5.7109375" style="989" customWidth="1"/>
    <col min="12799" max="12799" width="10.140625" style="989" customWidth="1"/>
    <col min="12800" max="12801" width="10.7109375" style="989" customWidth="1"/>
    <col min="12802" max="12802" width="10.5703125" style="989" customWidth="1"/>
    <col min="12803" max="13047" width="9.140625" style="989"/>
    <col min="13048" max="13048" width="4.7109375" style="989" customWidth="1"/>
    <col min="13049" max="13049" width="9.28515625" style="989" customWidth="1"/>
    <col min="13050" max="13050" width="9" style="989" customWidth="1"/>
    <col min="13051" max="13051" width="10.85546875" style="989" customWidth="1"/>
    <col min="13052" max="13052" width="52.7109375" style="989" customWidth="1"/>
    <col min="13053" max="13053" width="9.85546875" style="989" customWidth="1"/>
    <col min="13054" max="13054" width="5.7109375" style="989" customWidth="1"/>
    <col min="13055" max="13055" width="10.140625" style="989" customWidth="1"/>
    <col min="13056" max="13057" width="10.7109375" style="989" customWidth="1"/>
    <col min="13058" max="13058" width="10.5703125" style="989" customWidth="1"/>
    <col min="13059" max="13303" width="9.140625" style="989"/>
    <col min="13304" max="13304" width="4.7109375" style="989" customWidth="1"/>
    <col min="13305" max="13305" width="9.28515625" style="989" customWidth="1"/>
    <col min="13306" max="13306" width="9" style="989" customWidth="1"/>
    <col min="13307" max="13307" width="10.85546875" style="989" customWidth="1"/>
    <col min="13308" max="13308" width="52.7109375" style="989" customWidth="1"/>
    <col min="13309" max="13309" width="9.85546875" style="989" customWidth="1"/>
    <col min="13310" max="13310" width="5.7109375" style="989" customWidth="1"/>
    <col min="13311" max="13311" width="10.140625" style="989" customWidth="1"/>
    <col min="13312" max="13313" width="10.7109375" style="989" customWidth="1"/>
    <col min="13314" max="13314" width="10.5703125" style="989" customWidth="1"/>
    <col min="13315" max="13559" width="9.140625" style="989"/>
    <col min="13560" max="13560" width="4.7109375" style="989" customWidth="1"/>
    <col min="13561" max="13561" width="9.28515625" style="989" customWidth="1"/>
    <col min="13562" max="13562" width="9" style="989" customWidth="1"/>
    <col min="13563" max="13563" width="10.85546875" style="989" customWidth="1"/>
    <col min="13564" max="13564" width="52.7109375" style="989" customWidth="1"/>
    <col min="13565" max="13565" width="9.85546875" style="989" customWidth="1"/>
    <col min="13566" max="13566" width="5.7109375" style="989" customWidth="1"/>
    <col min="13567" max="13567" width="10.140625" style="989" customWidth="1"/>
    <col min="13568" max="13569" width="10.7109375" style="989" customWidth="1"/>
    <col min="13570" max="13570" width="10.5703125" style="989" customWidth="1"/>
    <col min="13571" max="13815" width="9.140625" style="989"/>
    <col min="13816" max="13816" width="4.7109375" style="989" customWidth="1"/>
    <col min="13817" max="13817" width="9.28515625" style="989" customWidth="1"/>
    <col min="13818" max="13818" width="9" style="989" customWidth="1"/>
    <col min="13819" max="13819" width="10.85546875" style="989" customWidth="1"/>
    <col min="13820" max="13820" width="52.7109375" style="989" customWidth="1"/>
    <col min="13821" max="13821" width="9.85546875" style="989" customWidth="1"/>
    <col min="13822" max="13822" width="5.7109375" style="989" customWidth="1"/>
    <col min="13823" max="13823" width="10.140625" style="989" customWidth="1"/>
    <col min="13824" max="13825" width="10.7109375" style="989" customWidth="1"/>
    <col min="13826" max="13826" width="10.5703125" style="989" customWidth="1"/>
    <col min="13827" max="14071" width="9.140625" style="989"/>
    <col min="14072" max="14072" width="4.7109375" style="989" customWidth="1"/>
    <col min="14073" max="14073" width="9.28515625" style="989" customWidth="1"/>
    <col min="14074" max="14074" width="9" style="989" customWidth="1"/>
    <col min="14075" max="14075" width="10.85546875" style="989" customWidth="1"/>
    <col min="14076" max="14076" width="52.7109375" style="989" customWidth="1"/>
    <col min="14077" max="14077" width="9.85546875" style="989" customWidth="1"/>
    <col min="14078" max="14078" width="5.7109375" style="989" customWidth="1"/>
    <col min="14079" max="14079" width="10.140625" style="989" customWidth="1"/>
    <col min="14080" max="14081" width="10.7109375" style="989" customWidth="1"/>
    <col min="14082" max="14082" width="10.5703125" style="989" customWidth="1"/>
    <col min="14083" max="14327" width="9.140625" style="989"/>
    <col min="14328" max="14328" width="4.7109375" style="989" customWidth="1"/>
    <col min="14329" max="14329" width="9.28515625" style="989" customWidth="1"/>
    <col min="14330" max="14330" width="9" style="989" customWidth="1"/>
    <col min="14331" max="14331" width="10.85546875" style="989" customWidth="1"/>
    <col min="14332" max="14332" width="52.7109375" style="989" customWidth="1"/>
    <col min="14333" max="14333" width="9.85546875" style="989" customWidth="1"/>
    <col min="14334" max="14334" width="5.7109375" style="989" customWidth="1"/>
    <col min="14335" max="14335" width="10.140625" style="989" customWidth="1"/>
    <col min="14336" max="14337" width="10.7109375" style="989" customWidth="1"/>
    <col min="14338" max="14338" width="10.5703125" style="989" customWidth="1"/>
    <col min="14339" max="14583" width="9.140625" style="989"/>
    <col min="14584" max="14584" width="4.7109375" style="989" customWidth="1"/>
    <col min="14585" max="14585" width="9.28515625" style="989" customWidth="1"/>
    <col min="14586" max="14586" width="9" style="989" customWidth="1"/>
    <col min="14587" max="14587" width="10.85546875" style="989" customWidth="1"/>
    <col min="14588" max="14588" width="52.7109375" style="989" customWidth="1"/>
    <col min="14589" max="14589" width="9.85546875" style="989" customWidth="1"/>
    <col min="14590" max="14590" width="5.7109375" style="989" customWidth="1"/>
    <col min="14591" max="14591" width="10.140625" style="989" customWidth="1"/>
    <col min="14592" max="14593" width="10.7109375" style="989" customWidth="1"/>
    <col min="14594" max="14594" width="10.5703125" style="989" customWidth="1"/>
    <col min="14595" max="14839" width="9.140625" style="989"/>
    <col min="14840" max="14840" width="4.7109375" style="989" customWidth="1"/>
    <col min="14841" max="14841" width="9.28515625" style="989" customWidth="1"/>
    <col min="14842" max="14842" width="9" style="989" customWidth="1"/>
    <col min="14843" max="14843" width="10.85546875" style="989" customWidth="1"/>
    <col min="14844" max="14844" width="52.7109375" style="989" customWidth="1"/>
    <col min="14845" max="14845" width="9.85546875" style="989" customWidth="1"/>
    <col min="14846" max="14846" width="5.7109375" style="989" customWidth="1"/>
    <col min="14847" max="14847" width="10.140625" style="989" customWidth="1"/>
    <col min="14848" max="14849" width="10.7109375" style="989" customWidth="1"/>
    <col min="14850" max="14850" width="10.5703125" style="989" customWidth="1"/>
    <col min="14851" max="15095" width="9.140625" style="989"/>
    <col min="15096" max="15096" width="4.7109375" style="989" customWidth="1"/>
    <col min="15097" max="15097" width="9.28515625" style="989" customWidth="1"/>
    <col min="15098" max="15098" width="9" style="989" customWidth="1"/>
    <col min="15099" max="15099" width="10.85546875" style="989" customWidth="1"/>
    <col min="15100" max="15100" width="52.7109375" style="989" customWidth="1"/>
    <col min="15101" max="15101" width="9.85546875" style="989" customWidth="1"/>
    <col min="15102" max="15102" width="5.7109375" style="989" customWidth="1"/>
    <col min="15103" max="15103" width="10.140625" style="989" customWidth="1"/>
    <col min="15104" max="15105" width="10.7109375" style="989" customWidth="1"/>
    <col min="15106" max="15106" width="10.5703125" style="989" customWidth="1"/>
    <col min="15107" max="15351" width="9.140625" style="989"/>
    <col min="15352" max="15352" width="4.7109375" style="989" customWidth="1"/>
    <col min="15353" max="15353" width="9.28515625" style="989" customWidth="1"/>
    <col min="15354" max="15354" width="9" style="989" customWidth="1"/>
    <col min="15355" max="15355" width="10.85546875" style="989" customWidth="1"/>
    <col min="15356" max="15356" width="52.7109375" style="989" customWidth="1"/>
    <col min="15357" max="15357" width="9.85546875" style="989" customWidth="1"/>
    <col min="15358" max="15358" width="5.7109375" style="989" customWidth="1"/>
    <col min="15359" max="15359" width="10.140625" style="989" customWidth="1"/>
    <col min="15360" max="15361" width="10.7109375" style="989" customWidth="1"/>
    <col min="15362" max="15362" width="10.5703125" style="989" customWidth="1"/>
    <col min="15363" max="15607" width="9.140625" style="989"/>
    <col min="15608" max="15608" width="4.7109375" style="989" customWidth="1"/>
    <col min="15609" max="15609" width="9.28515625" style="989" customWidth="1"/>
    <col min="15610" max="15610" width="9" style="989" customWidth="1"/>
    <col min="15611" max="15611" width="10.85546875" style="989" customWidth="1"/>
    <col min="15612" max="15612" width="52.7109375" style="989" customWidth="1"/>
    <col min="15613" max="15613" width="9.85546875" style="989" customWidth="1"/>
    <col min="15614" max="15614" width="5.7109375" style="989" customWidth="1"/>
    <col min="15615" max="15615" width="10.140625" style="989" customWidth="1"/>
    <col min="15616" max="15617" width="10.7109375" style="989" customWidth="1"/>
    <col min="15618" max="15618" width="10.5703125" style="989" customWidth="1"/>
    <col min="15619" max="15863" width="9.140625" style="989"/>
    <col min="15864" max="15864" width="4.7109375" style="989" customWidth="1"/>
    <col min="15865" max="15865" width="9.28515625" style="989" customWidth="1"/>
    <col min="15866" max="15866" width="9" style="989" customWidth="1"/>
    <col min="15867" max="15867" width="10.85546875" style="989" customWidth="1"/>
    <col min="15868" max="15868" width="52.7109375" style="989" customWidth="1"/>
    <col min="15869" max="15869" width="9.85546875" style="989" customWidth="1"/>
    <col min="15870" max="15870" width="5.7109375" style="989" customWidth="1"/>
    <col min="15871" max="15871" width="10.140625" style="989" customWidth="1"/>
    <col min="15872" max="15873" width="10.7109375" style="989" customWidth="1"/>
    <col min="15874" max="15874" width="10.5703125" style="989" customWidth="1"/>
    <col min="15875" max="16119" width="9.140625" style="989"/>
    <col min="16120" max="16120" width="4.7109375" style="989" customWidth="1"/>
    <col min="16121" max="16121" width="9.28515625" style="989" customWidth="1"/>
    <col min="16122" max="16122" width="9" style="989" customWidth="1"/>
    <col min="16123" max="16123" width="10.85546875" style="989" customWidth="1"/>
    <col min="16124" max="16124" width="52.7109375" style="989" customWidth="1"/>
    <col min="16125" max="16125" width="9.85546875" style="989" customWidth="1"/>
    <col min="16126" max="16126" width="5.7109375" style="989" customWidth="1"/>
    <col min="16127" max="16127" width="10.140625" style="989" customWidth="1"/>
    <col min="16128" max="16129" width="10.7109375" style="989" customWidth="1"/>
    <col min="16130" max="16130" width="10.5703125" style="989" customWidth="1"/>
    <col min="16131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2466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3" t="s">
        <v>3</v>
      </c>
      <c r="B3" s="1354"/>
      <c r="C3" s="1354"/>
      <c r="D3" s="1047"/>
      <c r="E3" s="1355" t="s">
        <v>4</v>
      </c>
      <c r="F3" s="1356"/>
      <c r="G3" s="1359" t="s">
        <v>5</v>
      </c>
      <c r="H3" s="1361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57"/>
      <c r="F4" s="1358"/>
      <c r="G4" s="1360"/>
      <c r="H4" s="1362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2.19</v>
      </c>
    </row>
    <row r="9" spans="1:8" ht="14.25">
      <c r="A9" s="34"/>
      <c r="B9" s="464"/>
      <c r="C9" s="36"/>
      <c r="D9" s="37"/>
      <c r="E9" s="38"/>
      <c r="F9" s="46">
        <f>F21</f>
        <v>2.19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 ht="12.75" customHeight="1">
      <c r="A12" s="1063"/>
      <c r="B12" s="1064"/>
      <c r="C12" s="957"/>
      <c r="D12" s="300"/>
      <c r="E12" s="1065"/>
      <c r="F12" s="958"/>
      <c r="G12" s="959"/>
      <c r="H12" s="541"/>
    </row>
    <row r="13" spans="1:8" ht="12.75" customHeight="1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6.04</v>
      </c>
    </row>
    <row r="14" spans="1:8" ht="12.75" customHeight="1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6.04</v>
      </c>
    </row>
    <row r="15" spans="1:8" ht="12.75" customHeight="1">
      <c r="A15" s="963"/>
      <c r="B15" s="600"/>
      <c r="C15" s="957"/>
      <c r="D15" s="300"/>
      <c r="E15" s="783" t="s">
        <v>2467</v>
      </c>
      <c r="F15" s="229">
        <v>6.04</v>
      </c>
      <c r="G15" s="959"/>
      <c r="H15" s="542"/>
    </row>
    <row r="16" spans="1:8" ht="12.75" customHeight="1">
      <c r="A16" s="963"/>
      <c r="B16" s="600"/>
      <c r="C16" s="957"/>
      <c r="D16" s="300"/>
      <c r="E16" s="774"/>
      <c r="F16" s="958"/>
      <c r="G16" s="959"/>
      <c r="H16" s="542"/>
    </row>
    <row r="17" spans="1:8" ht="51" customHeight="1">
      <c r="A17" s="963"/>
      <c r="B17" s="600"/>
      <c r="C17" s="957"/>
      <c r="D17" s="300"/>
      <c r="E17" s="783" t="s">
        <v>2443</v>
      </c>
      <c r="F17" s="958"/>
      <c r="G17" s="959"/>
      <c r="H17" s="542"/>
    </row>
    <row r="18" spans="1:8">
      <c r="A18" s="963"/>
      <c r="B18" s="1067"/>
      <c r="C18" s="957"/>
      <c r="D18" s="300"/>
      <c r="E18" s="774"/>
      <c r="F18" s="958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2.19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2.19</v>
      </c>
    </row>
    <row r="21" spans="1:8">
      <c r="A21" s="963"/>
      <c r="B21" s="600"/>
      <c r="C21" s="957"/>
      <c r="D21" s="300"/>
      <c r="E21" s="330" t="s">
        <v>2389</v>
      </c>
      <c r="F21" s="212">
        <f>F39</f>
        <v>2.19</v>
      </c>
      <c r="G21" s="959"/>
      <c r="H21" s="542"/>
    </row>
    <row r="22" spans="1:8">
      <c r="A22" s="963"/>
      <c r="B22" s="1067"/>
      <c r="C22" s="957"/>
      <c r="D22" s="300"/>
      <c r="E22" s="774"/>
      <c r="F22" s="958"/>
      <c r="G22" s="959"/>
      <c r="H22" s="542"/>
    </row>
    <row r="23" spans="1:8" ht="12.75" customHeight="1">
      <c r="A23" s="334">
        <f>MAX(A$1:A22)+1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3.85</v>
      </c>
    </row>
    <row r="24" spans="1:8" ht="12.75" customHeight="1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3.85</v>
      </c>
    </row>
    <row r="25" spans="1:8" ht="12.75" customHeight="1">
      <c r="A25" s="835"/>
      <c r="B25" s="836"/>
      <c r="C25" s="834"/>
      <c r="D25" s="773"/>
      <c r="E25" s="1072" t="s">
        <v>2468</v>
      </c>
      <c r="F25" s="990">
        <v>3.85</v>
      </c>
      <c r="G25" s="776"/>
      <c r="H25" s="535"/>
    </row>
    <row r="26" spans="1:8" ht="12.75" customHeight="1">
      <c r="A26" s="835"/>
      <c r="B26" s="836"/>
      <c r="C26" s="834"/>
      <c r="D26" s="773"/>
      <c r="E26" s="467" t="s">
        <v>2469</v>
      </c>
      <c r="F26" s="1073" t="s">
        <v>2470</v>
      </c>
      <c r="G26" s="776"/>
      <c r="H26" s="535"/>
    </row>
    <row r="27" spans="1:8" ht="12.75" customHeight="1">
      <c r="A27" s="835"/>
      <c r="B27" s="836"/>
      <c r="C27" s="834"/>
      <c r="D27" s="773"/>
      <c r="E27" s="1074"/>
      <c r="F27" s="775"/>
      <c r="G27" s="776"/>
      <c r="H27" s="535"/>
    </row>
    <row r="28" spans="1:8" ht="51" customHeight="1">
      <c r="A28" s="835"/>
      <c r="B28" s="836"/>
      <c r="C28" s="834"/>
      <c r="D28" s="773"/>
      <c r="E28" s="783" t="s">
        <v>2443</v>
      </c>
      <c r="F28" s="775"/>
      <c r="G28" s="776"/>
      <c r="H28" s="535"/>
    </row>
    <row r="29" spans="1:8" ht="12.75" customHeight="1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1.75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1.75</v>
      </c>
    </row>
    <row r="32" spans="1:8">
      <c r="A32" s="438"/>
      <c r="B32" s="429"/>
      <c r="C32" s="430"/>
      <c r="D32" s="431"/>
      <c r="E32" s="330" t="s">
        <v>2471</v>
      </c>
      <c r="F32" s="547">
        <v>1.75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2.19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2.19</v>
      </c>
    </row>
    <row r="36" spans="1:8">
      <c r="A36" s="334"/>
      <c r="B36" s="440"/>
      <c r="C36" s="430"/>
      <c r="D36" s="431"/>
      <c r="E36" s="964" t="s">
        <v>2397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6.04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-3.85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2.19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725">
        <v>91282401</v>
      </c>
      <c r="D43" s="196"/>
      <c r="E43" s="251" t="s">
        <v>1740</v>
      </c>
      <c r="F43" s="264"/>
      <c r="G43" s="286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0.44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0.44</v>
      </c>
    </row>
    <row r="50" spans="1:8">
      <c r="A50" s="290"/>
      <c r="B50" s="328"/>
      <c r="C50" s="1078"/>
      <c r="D50" s="599"/>
      <c r="E50" s="467" t="s">
        <v>2472</v>
      </c>
      <c r="F50" s="457">
        <v>0.44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2473</v>
      </c>
      <c r="C52" s="834"/>
      <c r="D52" s="773"/>
      <c r="E52" s="1002" t="s">
        <v>2474</v>
      </c>
      <c r="F52" s="775"/>
      <c r="G52" s="776"/>
      <c r="H52" s="544"/>
    </row>
    <row r="53" spans="1:8">
      <c r="A53" s="835"/>
      <c r="B53" s="1079"/>
      <c r="C53" s="834"/>
      <c r="D53" s="773"/>
      <c r="E53" s="1002"/>
      <c r="F53" s="775"/>
      <c r="G53" s="776"/>
      <c r="H53" s="544"/>
    </row>
    <row r="54" spans="1:8">
      <c r="A54" s="334">
        <f>MAX(A$1:A52)+1</f>
        <v>9</v>
      </c>
      <c r="B54" s="836"/>
      <c r="C54" s="953" t="s">
        <v>744</v>
      </c>
      <c r="D54" s="846"/>
      <c r="E54" s="1080" t="s">
        <v>745</v>
      </c>
      <c r="F54" s="775"/>
      <c r="G54" s="776" t="s">
        <v>36</v>
      </c>
      <c r="H54" s="1011">
        <v>30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30</v>
      </c>
    </row>
    <row r="56" spans="1:8">
      <c r="A56" s="835"/>
      <c r="B56" s="836"/>
      <c r="C56" s="834"/>
      <c r="D56" s="773"/>
      <c r="E56" s="1018" t="s">
        <v>2475</v>
      </c>
      <c r="F56" s="990">
        <v>30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30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30</v>
      </c>
    </row>
    <row r="62" spans="1:8">
      <c r="A62" s="1027"/>
      <c r="B62" s="1085"/>
      <c r="C62" s="1023"/>
      <c r="D62" s="1013"/>
      <c r="E62" s="1018" t="s">
        <v>2476</v>
      </c>
      <c r="F62" s="1035">
        <v>30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30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30</v>
      </c>
    </row>
    <row r="66" spans="1:8">
      <c r="A66" s="1091"/>
      <c r="B66" s="495"/>
      <c r="C66" s="1092"/>
      <c r="D66" s="1093"/>
      <c r="E66" s="1095" t="s">
        <v>2477</v>
      </c>
      <c r="F66" s="565">
        <v>30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1097"/>
      <c r="G68" s="847" t="s">
        <v>33</v>
      </c>
      <c r="H68" s="540">
        <v>2</v>
      </c>
    </row>
    <row r="69" spans="1:8" ht="25.5">
      <c r="A69" s="1091"/>
      <c r="B69" s="495"/>
      <c r="C69" s="1096"/>
      <c r="D69" s="199">
        <v>9110010701</v>
      </c>
      <c r="E69" s="71" t="s">
        <v>2478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098" t="s">
        <v>2479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drUF/WsH/nIo7nG5RE1lSMSxUcoWMMgzRrcyCZPKs3mxQfVNxfraKrcBk1vME+6dWW0iLBI4NUUSNiGQPBCjKA==" saltValue="0DCvTIoYU8XdUM3Bpc9qo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E5066-1DB3-4460-8642-82BF0CFDDDBB}">
  <sheetPr codeName="Hárok24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2481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3" t="s">
        <v>3</v>
      </c>
      <c r="B3" s="1354"/>
      <c r="C3" s="1354"/>
      <c r="D3" s="1047"/>
      <c r="E3" s="1355" t="s">
        <v>4</v>
      </c>
      <c r="F3" s="1356"/>
      <c r="G3" s="1359" t="s">
        <v>5</v>
      </c>
      <c r="H3" s="1361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57"/>
      <c r="F4" s="1358"/>
      <c r="G4" s="1360"/>
      <c r="H4" s="1362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2.88</v>
      </c>
    </row>
    <row r="9" spans="1:8" ht="14.25">
      <c r="A9" s="34"/>
      <c r="B9" s="464"/>
      <c r="C9" s="36"/>
      <c r="D9" s="37"/>
      <c r="E9" s="38"/>
      <c r="F9" s="46">
        <f>F21</f>
        <v>2.88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7.97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7.97</v>
      </c>
    </row>
    <row r="15" spans="1:8">
      <c r="A15" s="963"/>
      <c r="B15" s="600"/>
      <c r="C15" s="957"/>
      <c r="D15" s="300"/>
      <c r="E15" s="783" t="s">
        <v>2482</v>
      </c>
      <c r="F15" s="229">
        <v>7.97</v>
      </c>
      <c r="G15" s="959"/>
      <c r="H15" s="542"/>
    </row>
    <row r="16" spans="1:8">
      <c r="A16" s="963"/>
      <c r="B16" s="600"/>
      <c r="C16" s="957"/>
      <c r="D16" s="300"/>
      <c r="E16" s="783"/>
      <c r="F16" s="229"/>
      <c r="G16" s="959"/>
      <c r="H16" s="542"/>
    </row>
    <row r="17" spans="1:8" ht="51">
      <c r="A17" s="963"/>
      <c r="B17" s="600"/>
      <c r="C17" s="957"/>
      <c r="D17" s="300"/>
      <c r="E17" s="783" t="s">
        <v>2443</v>
      </c>
      <c r="F17" s="229"/>
      <c r="G17" s="959"/>
      <c r="H17" s="542"/>
    </row>
    <row r="18" spans="1:8">
      <c r="A18" s="963"/>
      <c r="B18" s="1067"/>
      <c r="C18" s="957"/>
      <c r="D18" s="300"/>
      <c r="E18" s="783"/>
      <c r="F18" s="229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2.88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2.88</v>
      </c>
    </row>
    <row r="21" spans="1:8">
      <c r="A21" s="963"/>
      <c r="B21" s="600"/>
      <c r="C21" s="957"/>
      <c r="D21" s="300"/>
      <c r="E21" s="330" t="s">
        <v>2389</v>
      </c>
      <c r="F21" s="212">
        <f>F39</f>
        <v>2.88</v>
      </c>
      <c r="G21" s="959"/>
      <c r="H21" s="542"/>
    </row>
    <row r="22" spans="1:8">
      <c r="A22" s="1114"/>
      <c r="B22" s="1068"/>
      <c r="C22" s="1115"/>
      <c r="D22" s="1116"/>
      <c r="E22" s="1117"/>
      <c r="F22" s="775"/>
      <c r="G22" s="1118"/>
      <c r="H22" s="545"/>
    </row>
    <row r="23" spans="1:8">
      <c r="A23" s="34">
        <f>MAX(A$1:A21)+1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5.09</v>
      </c>
    </row>
    <row r="24" spans="1:8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5.09</v>
      </c>
    </row>
    <row r="25" spans="1:8">
      <c r="A25" s="835"/>
      <c r="B25" s="836"/>
      <c r="C25" s="834"/>
      <c r="D25" s="773"/>
      <c r="E25" s="1072" t="s">
        <v>2483</v>
      </c>
      <c r="F25" s="990">
        <v>5.09</v>
      </c>
      <c r="G25" s="776"/>
      <c r="H25" s="535"/>
    </row>
    <row r="26" spans="1:8">
      <c r="A26" s="835"/>
      <c r="B26" s="836"/>
      <c r="C26" s="834"/>
      <c r="D26" s="773"/>
      <c r="E26" s="467" t="s">
        <v>2484</v>
      </c>
      <c r="F26" s="1073" t="s">
        <v>2470</v>
      </c>
      <c r="G26" s="776"/>
      <c r="H26" s="535"/>
    </row>
    <row r="27" spans="1:8">
      <c r="A27" s="835"/>
      <c r="B27" s="836"/>
      <c r="C27" s="834"/>
      <c r="D27" s="773"/>
      <c r="E27" s="1074"/>
      <c r="F27" s="775"/>
      <c r="G27" s="776"/>
      <c r="H27" s="535"/>
    </row>
    <row r="28" spans="1:8" ht="51">
      <c r="A28" s="835"/>
      <c r="B28" s="836"/>
      <c r="C28" s="834"/>
      <c r="D28" s="773"/>
      <c r="E28" s="783" t="s">
        <v>2443</v>
      </c>
      <c r="F28" s="775"/>
      <c r="G28" s="776"/>
      <c r="H28" s="535"/>
    </row>
    <row r="29" spans="1:8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2.31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2.31</v>
      </c>
    </row>
    <row r="32" spans="1:8">
      <c r="A32" s="438"/>
      <c r="B32" s="429"/>
      <c r="C32" s="430"/>
      <c r="D32" s="431"/>
      <c r="E32" s="330" t="s">
        <v>2485</v>
      </c>
      <c r="F32" s="547">
        <v>2.31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2.88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2.88</v>
      </c>
    </row>
    <row r="36" spans="1:8">
      <c r="A36" s="334"/>
      <c r="B36" s="440"/>
      <c r="C36" s="430"/>
      <c r="D36" s="431"/>
      <c r="E36" s="964" t="s">
        <v>2397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7.97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-5.09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2.88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978">
        <v>91282401</v>
      </c>
      <c r="D43" s="979"/>
      <c r="E43" s="980" t="s">
        <v>1740</v>
      </c>
      <c r="F43" s="981"/>
      <c r="G43" s="982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0.57999999999999996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0.57999999999999996</v>
      </c>
    </row>
    <row r="50" spans="1:8">
      <c r="A50" s="290"/>
      <c r="B50" s="328"/>
      <c r="C50" s="1078"/>
      <c r="D50" s="599"/>
      <c r="E50" s="467" t="s">
        <v>2486</v>
      </c>
      <c r="F50" s="457">
        <v>0.57999999999999996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2473</v>
      </c>
      <c r="C52" s="834"/>
      <c r="D52" s="773"/>
      <c r="E52" s="1002" t="s">
        <v>2474</v>
      </c>
      <c r="F52" s="775"/>
      <c r="G52" s="776"/>
      <c r="H52" s="544"/>
    </row>
    <row r="53" spans="1:8">
      <c r="A53" s="835"/>
      <c r="B53" s="1079"/>
      <c r="C53" s="834"/>
      <c r="D53" s="773"/>
      <c r="E53" s="1002"/>
      <c r="F53" s="775"/>
      <c r="G53" s="776"/>
      <c r="H53" s="544"/>
    </row>
    <row r="54" spans="1:8">
      <c r="A54" s="334">
        <f>MAX(A$1:A52)+1</f>
        <v>9</v>
      </c>
      <c r="B54" s="836"/>
      <c r="C54" s="953" t="s">
        <v>744</v>
      </c>
      <c r="D54" s="846"/>
      <c r="E54" s="1080" t="s">
        <v>745</v>
      </c>
      <c r="F54" s="775"/>
      <c r="G54" s="776" t="s">
        <v>36</v>
      </c>
      <c r="H54" s="1011">
        <v>37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37</v>
      </c>
    </row>
    <row r="56" spans="1:8">
      <c r="A56" s="835"/>
      <c r="B56" s="836"/>
      <c r="C56" s="834"/>
      <c r="D56" s="773"/>
      <c r="E56" s="1018" t="s">
        <v>2475</v>
      </c>
      <c r="F56" s="990">
        <v>37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37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37</v>
      </c>
    </row>
    <row r="62" spans="1:8">
      <c r="A62" s="1027"/>
      <c r="B62" s="1085"/>
      <c r="C62" s="1023"/>
      <c r="D62" s="1013"/>
      <c r="E62" s="1018" t="s">
        <v>2476</v>
      </c>
      <c r="F62" s="1035">
        <v>37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37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37</v>
      </c>
    </row>
    <row r="66" spans="1:8">
      <c r="A66" s="1091"/>
      <c r="B66" s="495"/>
      <c r="C66" s="1092"/>
      <c r="D66" s="1093"/>
      <c r="E66" s="1095" t="s">
        <v>2477</v>
      </c>
      <c r="F66" s="565">
        <v>37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1097"/>
      <c r="G68" s="847" t="s">
        <v>33</v>
      </c>
      <c r="H68" s="540">
        <v>2</v>
      </c>
    </row>
    <row r="69" spans="1:8" ht="25.5">
      <c r="A69" s="1091"/>
      <c r="B69" s="495"/>
      <c r="C69" s="1096"/>
      <c r="D69" s="1093">
        <v>9110010701</v>
      </c>
      <c r="E69" s="297" t="s">
        <v>2478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119" t="s">
        <v>2479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em4+Jp+9/zOdJZtxta1LlaVXWoGmLzTiEQ4iKwGOs+UHiVzIpVA6RspjouYPN3EVM9wTWJxFFS7o2pjs9yzPjA==" saltValue="ni5E7wQQubEzP2+fcSZkT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209E-ACDC-450D-8D19-5662DFDA7F7B}">
  <sheetPr codeName="Hárok25"/>
  <dimension ref="A1:H71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2489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3" t="s">
        <v>3</v>
      </c>
      <c r="B3" s="1354"/>
      <c r="C3" s="1354"/>
      <c r="D3" s="1047"/>
      <c r="E3" s="1355" t="s">
        <v>4</v>
      </c>
      <c r="F3" s="1356"/>
      <c r="G3" s="1359" t="s">
        <v>5</v>
      </c>
      <c r="H3" s="1361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57"/>
      <c r="F4" s="1358"/>
      <c r="G4" s="1360"/>
      <c r="H4" s="1362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1.8399999999999999</v>
      </c>
    </row>
    <row r="9" spans="1:8" ht="14.25">
      <c r="A9" s="34"/>
      <c r="B9" s="464"/>
      <c r="C9" s="36"/>
      <c r="D9" s="37"/>
      <c r="E9" s="38"/>
      <c r="F9" s="46">
        <f>F21</f>
        <v>1.8399999999999999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5.08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5.08</v>
      </c>
    </row>
    <row r="15" spans="1:8">
      <c r="A15" s="963"/>
      <c r="B15" s="600"/>
      <c r="C15" s="957"/>
      <c r="D15" s="300"/>
      <c r="E15" s="783" t="s">
        <v>2490</v>
      </c>
      <c r="F15" s="229">
        <v>5.08</v>
      </c>
      <c r="G15" s="959"/>
      <c r="H15" s="542"/>
    </row>
    <row r="16" spans="1:8">
      <c r="A16" s="963"/>
      <c r="B16" s="600"/>
      <c r="C16" s="957"/>
      <c r="D16" s="300"/>
      <c r="E16" s="783"/>
      <c r="F16" s="229"/>
      <c r="G16" s="959"/>
      <c r="H16" s="542"/>
    </row>
    <row r="17" spans="1:8" ht="51">
      <c r="A17" s="963"/>
      <c r="B17" s="600"/>
      <c r="C17" s="957"/>
      <c r="D17" s="300"/>
      <c r="E17" s="783" t="s">
        <v>2443</v>
      </c>
      <c r="F17" s="229"/>
      <c r="G17" s="959"/>
      <c r="H17" s="542"/>
    </row>
    <row r="18" spans="1:8">
      <c r="A18" s="963"/>
      <c r="B18" s="1067"/>
      <c r="C18" s="957"/>
      <c r="D18" s="300"/>
      <c r="E18" s="783"/>
      <c r="F18" s="229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1.8399999999999999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1.8399999999999999</v>
      </c>
    </row>
    <row r="21" spans="1:8">
      <c r="A21" s="963"/>
      <c r="B21" s="600"/>
      <c r="C21" s="957"/>
      <c r="D21" s="300"/>
      <c r="E21" s="330" t="s">
        <v>2389</v>
      </c>
      <c r="F21" s="212">
        <f>F39</f>
        <v>1.8399999999999999</v>
      </c>
      <c r="G21" s="959"/>
      <c r="H21" s="542"/>
    </row>
    <row r="22" spans="1:8">
      <c r="A22" s="1114"/>
      <c r="B22" s="1068"/>
      <c r="C22" s="1115"/>
      <c r="D22" s="1116"/>
      <c r="E22" s="1117"/>
      <c r="F22" s="775"/>
      <c r="G22" s="1118"/>
      <c r="H22" s="545"/>
    </row>
    <row r="23" spans="1:8">
      <c r="A23" s="34">
        <f>MAX(A$1:A21)+1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3.24</v>
      </c>
    </row>
    <row r="24" spans="1:8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3.24</v>
      </c>
    </row>
    <row r="25" spans="1:8">
      <c r="A25" s="835"/>
      <c r="B25" s="836"/>
      <c r="C25" s="834"/>
      <c r="D25" s="773"/>
      <c r="E25" s="1072" t="s">
        <v>2491</v>
      </c>
      <c r="F25" s="990">
        <v>3.24</v>
      </c>
      <c r="G25" s="776"/>
      <c r="H25" s="535"/>
    </row>
    <row r="26" spans="1:8">
      <c r="A26" s="835"/>
      <c r="B26" s="836"/>
      <c r="C26" s="834"/>
      <c r="D26" s="773"/>
      <c r="E26" s="467" t="s">
        <v>2492</v>
      </c>
      <c r="F26" s="1073" t="s">
        <v>2470</v>
      </c>
      <c r="G26" s="776"/>
      <c r="H26" s="535"/>
    </row>
    <row r="27" spans="1:8">
      <c r="A27" s="835"/>
      <c r="B27" s="836"/>
      <c r="C27" s="834"/>
      <c r="D27" s="773"/>
      <c r="E27" s="1074"/>
      <c r="F27" s="775"/>
      <c r="G27" s="776"/>
      <c r="H27" s="535"/>
    </row>
    <row r="28" spans="1:8" ht="51">
      <c r="A28" s="835"/>
      <c r="B28" s="836"/>
      <c r="C28" s="834"/>
      <c r="D28" s="773"/>
      <c r="E28" s="783" t="s">
        <v>2443</v>
      </c>
      <c r="F28" s="775"/>
      <c r="G28" s="776"/>
      <c r="H28" s="535"/>
    </row>
    <row r="29" spans="1:8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1.47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1.47</v>
      </c>
    </row>
    <row r="32" spans="1:8">
      <c r="A32" s="438"/>
      <c r="B32" s="429"/>
      <c r="C32" s="430"/>
      <c r="D32" s="431"/>
      <c r="E32" s="330" t="s">
        <v>2493</v>
      </c>
      <c r="F32" s="547">
        <v>1.47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1.8399999999999999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1.8399999999999999</v>
      </c>
    </row>
    <row r="36" spans="1:8">
      <c r="A36" s="334"/>
      <c r="B36" s="440"/>
      <c r="C36" s="430"/>
      <c r="D36" s="431"/>
      <c r="E36" s="964" t="s">
        <v>2397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5.08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-3.24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1.8399999999999999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978">
        <v>91282401</v>
      </c>
      <c r="D43" s="979"/>
      <c r="E43" s="980" t="s">
        <v>1740</v>
      </c>
      <c r="F43" s="981"/>
      <c r="G43" s="982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0.37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0.37</v>
      </c>
    </row>
    <row r="50" spans="1:8">
      <c r="A50" s="290"/>
      <c r="B50" s="328"/>
      <c r="C50" s="1078"/>
      <c r="D50" s="599"/>
      <c r="E50" s="467" t="s">
        <v>2494</v>
      </c>
      <c r="F50" s="457">
        <v>0.37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2473</v>
      </c>
      <c r="C52" s="834"/>
      <c r="D52" s="773"/>
      <c r="E52" s="1002" t="s">
        <v>2474</v>
      </c>
      <c r="F52" s="775"/>
      <c r="G52" s="776"/>
      <c r="H52" s="544"/>
    </row>
    <row r="53" spans="1:8">
      <c r="A53" s="334">
        <f>MAX(A$1:A52)+1</f>
        <v>9</v>
      </c>
      <c r="B53" s="836"/>
      <c r="C53" s="953" t="s">
        <v>744</v>
      </c>
      <c r="D53" s="846"/>
      <c r="E53" s="1080" t="s">
        <v>745</v>
      </c>
      <c r="F53" s="775"/>
      <c r="G53" s="776" t="s">
        <v>36</v>
      </c>
      <c r="H53" s="1011">
        <v>25</v>
      </c>
    </row>
    <row r="54" spans="1:8" ht="25.5">
      <c r="A54" s="835"/>
      <c r="B54" s="836"/>
      <c r="C54" s="834"/>
      <c r="D54" s="773" t="s">
        <v>746</v>
      </c>
      <c r="E54" s="1074" t="s">
        <v>747</v>
      </c>
      <c r="F54" s="775"/>
      <c r="G54" s="776" t="s">
        <v>36</v>
      </c>
      <c r="H54" s="1081">
        <v>25</v>
      </c>
    </row>
    <row r="55" spans="1:8">
      <c r="A55" s="835"/>
      <c r="B55" s="836"/>
      <c r="C55" s="834"/>
      <c r="D55" s="773"/>
      <c r="E55" s="1018" t="s">
        <v>2475</v>
      </c>
      <c r="F55" s="990">
        <v>25</v>
      </c>
      <c r="G55" s="776"/>
      <c r="H55" s="544"/>
    </row>
    <row r="56" spans="1:8">
      <c r="A56" s="835"/>
      <c r="B56" s="1082"/>
      <c r="C56" s="1083"/>
      <c r="D56" s="600"/>
      <c r="E56" s="297"/>
      <c r="F56" s="958"/>
      <c r="G56" s="1010"/>
      <c r="H56" s="1084"/>
    </row>
    <row r="57" spans="1:8">
      <c r="A57" s="835"/>
      <c r="B57" s="1058" t="s">
        <v>225</v>
      </c>
      <c r="C57" s="1059"/>
      <c r="D57" s="1059"/>
      <c r="E57" s="1060" t="s">
        <v>226</v>
      </c>
      <c r="F57" s="958"/>
      <c r="G57" s="1010"/>
      <c r="H57" s="1084"/>
    </row>
    <row r="58" spans="1:8">
      <c r="A58" s="835"/>
      <c r="B58" s="1082"/>
      <c r="C58" s="1083"/>
      <c r="D58" s="600"/>
      <c r="E58" s="297"/>
      <c r="F58" s="958"/>
      <c r="G58" s="1010"/>
      <c r="H58" s="1084"/>
    </row>
    <row r="59" spans="1:8">
      <c r="A59" s="835">
        <f>MAX(A$1:A57)+1</f>
        <v>10</v>
      </c>
      <c r="B59" s="1085"/>
      <c r="C59" s="1007">
        <v>91080101</v>
      </c>
      <c r="D59" s="1008"/>
      <c r="E59" s="496" t="s">
        <v>227</v>
      </c>
      <c r="F59" s="1086"/>
      <c r="G59" s="1010" t="s">
        <v>36</v>
      </c>
      <c r="H59" s="1011">
        <v>25</v>
      </c>
    </row>
    <row r="60" spans="1:8">
      <c r="A60" s="1027"/>
      <c r="B60" s="1085"/>
      <c r="C60" s="1023"/>
      <c r="D60" s="1013">
        <v>9108010108</v>
      </c>
      <c r="E60" s="1014" t="s">
        <v>615</v>
      </c>
      <c r="F60" s="1086"/>
      <c r="G60" s="1016" t="s">
        <v>36</v>
      </c>
      <c r="H60" s="1081">
        <v>25</v>
      </c>
    </row>
    <row r="61" spans="1:8">
      <c r="A61" s="1027"/>
      <c r="B61" s="1085"/>
      <c r="C61" s="1023"/>
      <c r="D61" s="1013"/>
      <c r="E61" s="1018" t="s">
        <v>2476</v>
      </c>
      <c r="F61" s="1035">
        <v>25</v>
      </c>
      <c r="G61" s="1016"/>
      <c r="H61" s="1087"/>
    </row>
    <row r="62" spans="1:8">
      <c r="A62" s="1027"/>
      <c r="B62" s="1028"/>
      <c r="C62" s="1023"/>
      <c r="D62" s="1029"/>
      <c r="E62" s="1014"/>
      <c r="F62" s="1030"/>
      <c r="G62" s="1016"/>
      <c r="H62" s="1031"/>
    </row>
    <row r="63" spans="1:8">
      <c r="A63" s="334">
        <f>MAX(A$1:A61)+1</f>
        <v>11</v>
      </c>
      <c r="B63" s="495"/>
      <c r="C63" s="1088">
        <v>91080118</v>
      </c>
      <c r="D63" s="1089"/>
      <c r="E63" s="1090" t="s">
        <v>558</v>
      </c>
      <c r="F63" s="1034"/>
      <c r="G63" s="780" t="s">
        <v>36</v>
      </c>
      <c r="H63" s="540">
        <v>25</v>
      </c>
    </row>
    <row r="64" spans="1:8">
      <c r="A64" s="1091"/>
      <c r="B64" s="495"/>
      <c r="C64" s="1092"/>
      <c r="D64" s="1093">
        <v>9108011801</v>
      </c>
      <c r="E64" s="1094" t="s">
        <v>559</v>
      </c>
      <c r="F64" s="1030"/>
      <c r="G64" s="959" t="s">
        <v>36</v>
      </c>
      <c r="H64" s="566">
        <v>25</v>
      </c>
    </row>
    <row r="65" spans="1:8">
      <c r="A65" s="1091"/>
      <c r="B65" s="495"/>
      <c r="C65" s="1092"/>
      <c r="D65" s="1093"/>
      <c r="E65" s="1095" t="s">
        <v>2477</v>
      </c>
      <c r="F65" s="565">
        <v>25</v>
      </c>
      <c r="G65" s="776"/>
      <c r="H65" s="567"/>
    </row>
    <row r="66" spans="1:8">
      <c r="A66" s="1091"/>
      <c r="B66" s="495"/>
      <c r="C66" s="1096"/>
      <c r="D66" s="1093"/>
      <c r="E66" s="1094"/>
      <c r="F66" s="1006"/>
      <c r="G66" s="776"/>
      <c r="H66" s="569"/>
    </row>
    <row r="67" spans="1:8" ht="25.5">
      <c r="A67" s="334">
        <f>MAX(A$1:A65)+1</f>
        <v>12</v>
      </c>
      <c r="B67" s="495"/>
      <c r="C67" s="195">
        <v>91100107</v>
      </c>
      <c r="D67" s="196"/>
      <c r="E67" s="38" t="s">
        <v>618</v>
      </c>
      <c r="F67" s="39"/>
      <c r="G67" s="40" t="s">
        <v>33</v>
      </c>
      <c r="H67" s="540">
        <v>2</v>
      </c>
    </row>
    <row r="68" spans="1:8" ht="25.5">
      <c r="A68" s="1091"/>
      <c r="B68" s="495"/>
      <c r="C68" s="1096"/>
      <c r="D68" s="1093">
        <v>9110010701</v>
      </c>
      <c r="E68" s="297" t="s">
        <v>2478</v>
      </c>
      <c r="F68" s="297"/>
      <c r="G68" s="776" t="s">
        <v>33</v>
      </c>
      <c r="H68" s="566">
        <v>2</v>
      </c>
    </row>
    <row r="69" spans="1:8">
      <c r="A69" s="1091"/>
      <c r="B69" s="495"/>
      <c r="C69" s="1096"/>
      <c r="D69" s="1093"/>
      <c r="E69" s="1098" t="s">
        <v>2479</v>
      </c>
      <c r="F69" s="1099">
        <v>2</v>
      </c>
      <c r="G69" s="776"/>
      <c r="H69" s="569"/>
    </row>
    <row r="70" spans="1:8" s="1014" customFormat="1" ht="24.75" customHeight="1" thickBot="1">
      <c r="A70" s="1100"/>
      <c r="B70" s="1101"/>
      <c r="C70" s="1102"/>
      <c r="D70" s="1103"/>
      <c r="E70" s="1104"/>
      <c r="F70" s="1105"/>
      <c r="G70" s="1106"/>
      <c r="H70" s="1107"/>
    </row>
    <row r="71" spans="1:8" s="1014" customFormat="1" ht="24.75" customHeight="1">
      <c r="A71" s="301"/>
      <c r="B71" s="1108"/>
      <c r="C71" s="1109"/>
      <c r="D71" s="1110"/>
      <c r="E71" s="1111"/>
      <c r="F71" s="1030"/>
      <c r="G71" s="1112"/>
      <c r="H71" s="1113"/>
    </row>
  </sheetData>
  <sheetProtection algorithmName="SHA-512" hashValue="EBvN9qBtZXn9siwZa5J92I1zzS+zMDmsReXJtIMZry5aLul2VtZ6x0VvcSPv0HPWf26BiBjGV8Eh/W4pLMNjYA==" saltValue="lIzmflp26JWZghaCRXAaE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EB2EF-918A-4A6F-A5DB-999591FA85EB}">
  <sheetPr codeName="Hárok26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2497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3" t="s">
        <v>3</v>
      </c>
      <c r="B3" s="1354"/>
      <c r="C3" s="1354"/>
      <c r="D3" s="1047"/>
      <c r="E3" s="1355" t="s">
        <v>4</v>
      </c>
      <c r="F3" s="1356"/>
      <c r="G3" s="1359" t="s">
        <v>5</v>
      </c>
      <c r="H3" s="1361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57"/>
      <c r="F4" s="1358"/>
      <c r="G4" s="1360"/>
      <c r="H4" s="1362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0.96000000000000019</v>
      </c>
    </row>
    <row r="9" spans="1:8" ht="14.25">
      <c r="A9" s="34"/>
      <c r="B9" s="464"/>
      <c r="C9" s="36"/>
      <c r="D9" s="37"/>
      <c r="E9" s="38"/>
      <c r="F9" s="46">
        <f>F22</f>
        <v>0.96000000000000019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2.66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2.66</v>
      </c>
    </row>
    <row r="15" spans="1:8">
      <c r="A15" s="963"/>
      <c r="B15" s="600"/>
      <c r="C15" s="957"/>
      <c r="D15" s="300"/>
      <c r="G15" s="959"/>
      <c r="H15" s="542"/>
    </row>
    <row r="16" spans="1:8">
      <c r="A16" s="963"/>
      <c r="B16" s="600"/>
      <c r="C16" s="957"/>
      <c r="D16" s="300"/>
      <c r="E16" s="783" t="s">
        <v>2498</v>
      </c>
      <c r="F16" s="229">
        <v>2.66</v>
      </c>
      <c r="G16" s="959"/>
      <c r="H16" s="542"/>
    </row>
    <row r="17" spans="1:8">
      <c r="A17" s="963"/>
      <c r="B17" s="600"/>
      <c r="C17" s="957"/>
      <c r="D17" s="300"/>
      <c r="E17" s="783"/>
      <c r="F17" s="229"/>
      <c r="G17" s="959"/>
      <c r="H17" s="542"/>
    </row>
    <row r="18" spans="1:8" ht="51">
      <c r="A18" s="963"/>
      <c r="B18" s="1067"/>
      <c r="C18" s="957"/>
      <c r="D18" s="300"/>
      <c r="E18" s="783" t="s">
        <v>2443</v>
      </c>
      <c r="F18" s="229"/>
      <c r="G18" s="959"/>
      <c r="H18" s="542"/>
    </row>
    <row r="19" spans="1:8">
      <c r="A19" s="963"/>
      <c r="B19" s="1067"/>
      <c r="C19" s="957"/>
      <c r="D19" s="300"/>
      <c r="E19" s="783"/>
      <c r="F19" s="229"/>
      <c r="G19" s="959"/>
      <c r="H19" s="542"/>
    </row>
    <row r="20" spans="1:8">
      <c r="A20" s="334">
        <f>MAX(A$1:A18)+1</f>
        <v>3</v>
      </c>
      <c r="B20" s="960"/>
      <c r="C20" s="956" t="s">
        <v>58</v>
      </c>
      <c r="D20" s="599"/>
      <c r="E20" s="496" t="s">
        <v>59</v>
      </c>
      <c r="F20" s="482"/>
      <c r="G20" s="146" t="s">
        <v>18</v>
      </c>
      <c r="H20" s="543">
        <v>0.96000000000000019</v>
      </c>
    </row>
    <row r="21" spans="1:8">
      <c r="A21" s="961"/>
      <c r="B21" s="962"/>
      <c r="C21" s="957"/>
      <c r="D21" s="300" t="s">
        <v>60</v>
      </c>
      <c r="E21" s="297" t="s">
        <v>61</v>
      </c>
      <c r="F21" s="301"/>
      <c r="G21" s="218" t="s">
        <v>18</v>
      </c>
      <c r="H21" s="542">
        <v>0.96000000000000019</v>
      </c>
    </row>
    <row r="22" spans="1:8">
      <c r="A22" s="963"/>
      <c r="B22" s="600"/>
      <c r="C22" s="957"/>
      <c r="D22" s="300"/>
      <c r="E22" s="330" t="s">
        <v>2389</v>
      </c>
      <c r="F22" s="212">
        <f>F40</f>
        <v>0.96000000000000019</v>
      </c>
      <c r="G22" s="959"/>
      <c r="H22" s="542"/>
    </row>
    <row r="23" spans="1:8">
      <c r="A23" s="1114"/>
      <c r="B23" s="1068"/>
      <c r="C23" s="1115"/>
      <c r="D23" s="1116"/>
      <c r="E23" s="1117"/>
      <c r="F23" s="775"/>
      <c r="G23" s="1118"/>
      <c r="H23" s="545"/>
    </row>
    <row r="24" spans="1:8">
      <c r="A24" s="34">
        <f>MAX(A$1:A22)+1</f>
        <v>4</v>
      </c>
      <c r="B24" s="1068"/>
      <c r="C24" s="846" t="s">
        <v>78</v>
      </c>
      <c r="D24" s="953"/>
      <c r="E24" s="1069" t="s">
        <v>79</v>
      </c>
      <c r="F24" s="775"/>
      <c r="G24" s="847" t="s">
        <v>18</v>
      </c>
      <c r="H24" s="544">
        <v>1.7</v>
      </c>
    </row>
    <row r="25" spans="1:8">
      <c r="A25" s="334"/>
      <c r="B25" s="836"/>
      <c r="C25" s="834"/>
      <c r="D25" s="773" t="s">
        <v>80</v>
      </c>
      <c r="E25" s="1070" t="s">
        <v>81</v>
      </c>
      <c r="F25" s="1071"/>
      <c r="G25" s="776" t="s">
        <v>18</v>
      </c>
      <c r="H25" s="545">
        <v>1.7</v>
      </c>
    </row>
    <row r="26" spans="1:8">
      <c r="A26" s="835"/>
      <c r="B26" s="836"/>
      <c r="C26" s="834"/>
      <c r="D26" s="773"/>
      <c r="E26" s="1072" t="s">
        <v>2499</v>
      </c>
      <c r="F26" s="990">
        <v>1.7</v>
      </c>
      <c r="G26" s="776"/>
      <c r="H26" s="535"/>
    </row>
    <row r="27" spans="1:8">
      <c r="A27" s="835"/>
      <c r="B27" s="836"/>
      <c r="C27" s="834"/>
      <c r="D27" s="773"/>
      <c r="E27" s="467" t="s">
        <v>2500</v>
      </c>
      <c r="F27" s="1073" t="s">
        <v>2470</v>
      </c>
      <c r="G27" s="776"/>
      <c r="H27" s="535"/>
    </row>
    <row r="28" spans="1:8">
      <c r="A28" s="835"/>
      <c r="B28" s="836"/>
      <c r="C28" s="834"/>
      <c r="D28" s="773"/>
      <c r="E28" s="1074"/>
      <c r="F28" s="775"/>
      <c r="G28" s="776"/>
      <c r="H28" s="535"/>
    </row>
    <row r="29" spans="1:8" ht="51">
      <c r="A29" s="835"/>
      <c r="B29" s="836"/>
      <c r="C29" s="834"/>
      <c r="D29" s="773"/>
      <c r="E29" s="783" t="s">
        <v>2443</v>
      </c>
      <c r="F29" s="775"/>
      <c r="G29" s="776"/>
      <c r="H29" s="535"/>
    </row>
    <row r="30" spans="1:8">
      <c r="A30" s="835"/>
      <c r="B30" s="836"/>
      <c r="C30" s="834"/>
      <c r="D30" s="773"/>
      <c r="E30" s="774"/>
      <c r="F30" s="775"/>
      <c r="G30" s="776"/>
      <c r="H30" s="535"/>
    </row>
    <row r="31" spans="1:8">
      <c r="A31" s="334">
        <f>MAX(A$1:A30)+1</f>
        <v>5</v>
      </c>
      <c r="B31" s="429"/>
      <c r="C31" s="36" t="s">
        <v>472</v>
      </c>
      <c r="D31" s="37"/>
      <c r="E31" s="38" t="s">
        <v>473</v>
      </c>
      <c r="F31" s="39"/>
      <c r="G31" s="40" t="s">
        <v>18</v>
      </c>
      <c r="H31" s="544">
        <v>0.77</v>
      </c>
    </row>
    <row r="32" spans="1:8">
      <c r="A32" s="438"/>
      <c r="B32" s="429"/>
      <c r="C32" s="430"/>
      <c r="D32" s="67" t="s">
        <v>474</v>
      </c>
      <c r="E32" s="71" t="s">
        <v>475</v>
      </c>
      <c r="F32" s="61"/>
      <c r="G32" s="62" t="s">
        <v>18</v>
      </c>
      <c r="H32" s="545">
        <v>0.77</v>
      </c>
    </row>
    <row r="33" spans="1:8">
      <c r="A33" s="438"/>
      <c r="B33" s="429"/>
      <c r="C33" s="430"/>
      <c r="D33" s="431"/>
      <c r="E33" s="330" t="s">
        <v>2501</v>
      </c>
      <c r="F33" s="547">
        <v>0.77</v>
      </c>
      <c r="G33" s="512"/>
      <c r="H33" s="535"/>
    </row>
    <row r="34" spans="1:8">
      <c r="A34" s="835"/>
      <c r="B34" s="836"/>
      <c r="C34" s="834"/>
      <c r="D34" s="773"/>
      <c r="E34" s="1074"/>
      <c r="F34" s="775"/>
      <c r="G34" s="776"/>
      <c r="H34" s="544"/>
    </row>
    <row r="35" spans="1:8">
      <c r="A35" s="334">
        <f>MAX(A$1:A32)+1</f>
        <v>6</v>
      </c>
      <c r="B35" s="439"/>
      <c r="C35" s="36" t="s">
        <v>50</v>
      </c>
      <c r="D35" s="37"/>
      <c r="E35" s="38" t="s">
        <v>51</v>
      </c>
      <c r="F35" s="39"/>
      <c r="G35" s="40" t="s">
        <v>18</v>
      </c>
      <c r="H35" s="544">
        <v>0.96000000000000019</v>
      </c>
    </row>
    <row r="36" spans="1:8" ht="25.5">
      <c r="A36" s="293"/>
      <c r="B36" s="440"/>
      <c r="C36" s="66"/>
      <c r="D36" s="67" t="s">
        <v>138</v>
      </c>
      <c r="E36" s="71" t="s">
        <v>139</v>
      </c>
      <c r="F36" s="61"/>
      <c r="G36" s="62" t="s">
        <v>18</v>
      </c>
      <c r="H36" s="545">
        <v>0.96000000000000019</v>
      </c>
    </row>
    <row r="37" spans="1:8">
      <c r="A37" s="334"/>
      <c r="B37" s="440"/>
      <c r="C37" s="430"/>
      <c r="D37" s="431"/>
      <c r="E37" s="964" t="s">
        <v>2397</v>
      </c>
      <c r="F37" s="212"/>
      <c r="G37" s="512"/>
      <c r="H37" s="544"/>
    </row>
    <row r="38" spans="1:8">
      <c r="A38" s="334"/>
      <c r="B38" s="440"/>
      <c r="C38" s="430"/>
      <c r="D38" s="431"/>
      <c r="E38" s="549" t="s">
        <v>66</v>
      </c>
      <c r="F38" s="212">
        <f>H13</f>
        <v>2.66</v>
      </c>
      <c r="G38" s="512"/>
      <c r="H38" s="544"/>
    </row>
    <row r="39" spans="1:8">
      <c r="A39" s="334"/>
      <c r="B39" s="440"/>
      <c r="C39" s="430"/>
      <c r="D39" s="431"/>
      <c r="E39" s="549" t="s">
        <v>82</v>
      </c>
      <c r="F39" s="213">
        <f>-H24</f>
        <v>-1.7</v>
      </c>
      <c r="G39" s="512"/>
      <c r="H39" s="544"/>
    </row>
    <row r="40" spans="1:8">
      <c r="A40" s="334"/>
      <c r="B40" s="440"/>
      <c r="C40" s="430"/>
      <c r="D40" s="431"/>
      <c r="E40" s="549"/>
      <c r="F40" s="212">
        <f>SUM(F38:F39)</f>
        <v>0.96000000000000019</v>
      </c>
      <c r="G40" s="512"/>
      <c r="H40" s="544"/>
    </row>
    <row r="41" spans="1:8">
      <c r="A41" s="835"/>
      <c r="B41" s="836"/>
      <c r="C41" s="834"/>
      <c r="D41" s="773"/>
      <c r="E41" s="1074"/>
      <c r="F41" s="775"/>
      <c r="G41" s="776"/>
      <c r="H41" s="544"/>
    </row>
    <row r="42" spans="1:8">
      <c r="A42" s="835"/>
      <c r="B42" s="35" t="s">
        <v>501</v>
      </c>
      <c r="C42" s="35"/>
      <c r="D42" s="94"/>
      <c r="E42" s="27" t="s">
        <v>502</v>
      </c>
      <c r="F42" s="775"/>
      <c r="G42" s="776"/>
      <c r="H42" s="544"/>
    </row>
    <row r="43" spans="1:8">
      <c r="A43" s="835"/>
      <c r="B43" s="836"/>
      <c r="C43" s="834"/>
      <c r="D43" s="773"/>
      <c r="E43" s="1074"/>
      <c r="F43" s="775"/>
      <c r="G43" s="776"/>
      <c r="H43" s="544"/>
    </row>
    <row r="44" spans="1:8" ht="25.5">
      <c r="A44" s="334">
        <f>MAX(A$1:A41)+1</f>
        <v>7</v>
      </c>
      <c r="B44" s="328"/>
      <c r="C44" s="725">
        <v>91282401</v>
      </c>
      <c r="D44" s="196"/>
      <c r="E44" s="251" t="s">
        <v>1740</v>
      </c>
      <c r="F44" s="264"/>
      <c r="G44" s="286" t="s">
        <v>145</v>
      </c>
      <c r="H44" s="722">
        <v>8</v>
      </c>
    </row>
    <row r="45" spans="1:8">
      <c r="A45" s="290"/>
      <c r="B45" s="328"/>
      <c r="C45" s="344"/>
      <c r="D45" s="199"/>
      <c r="E45" s="77" t="s">
        <v>1741</v>
      </c>
      <c r="F45" s="212">
        <v>8</v>
      </c>
      <c r="G45" s="295"/>
      <c r="H45" s="723"/>
    </row>
    <row r="46" spans="1:8">
      <c r="A46" s="835"/>
      <c r="B46" s="836"/>
      <c r="C46" s="834"/>
      <c r="D46" s="773"/>
      <c r="E46" s="1074"/>
      <c r="F46" s="775"/>
      <c r="G46" s="776"/>
      <c r="H46" s="544"/>
    </row>
    <row r="47" spans="1:8">
      <c r="A47" s="290"/>
      <c r="B47" s="1075" t="s">
        <v>416</v>
      </c>
      <c r="C47" s="1075"/>
      <c r="D47" s="1076"/>
      <c r="E47" s="1002" t="s">
        <v>417</v>
      </c>
      <c r="F47" s="1077"/>
      <c r="G47" s="333"/>
      <c r="H47" s="558"/>
    </row>
    <row r="48" spans="1:8">
      <c r="A48" s="290"/>
      <c r="B48" s="328"/>
      <c r="C48" s="331"/>
      <c r="D48" s="332"/>
      <c r="E48" s="1065"/>
      <c r="F48" s="1077"/>
      <c r="G48" s="333"/>
      <c r="H48" s="558"/>
    </row>
    <row r="49" spans="1:8" ht="25.5">
      <c r="A49" s="334">
        <f>MAX(A$1:A48)+1</f>
        <v>8</v>
      </c>
      <c r="B49" s="328"/>
      <c r="C49" s="36" t="s">
        <v>387</v>
      </c>
      <c r="D49" s="66"/>
      <c r="E49" s="38" t="s">
        <v>388</v>
      </c>
      <c r="F49" s="39"/>
      <c r="G49" s="40" t="s">
        <v>18</v>
      </c>
      <c r="H49" s="559">
        <v>0.2</v>
      </c>
    </row>
    <row r="50" spans="1:8" ht="25.5">
      <c r="A50" s="290"/>
      <c r="B50" s="328"/>
      <c r="C50" s="1078"/>
      <c r="D50" s="191" t="s">
        <v>432</v>
      </c>
      <c r="E50" s="193" t="s">
        <v>433</v>
      </c>
      <c r="F50" s="192"/>
      <c r="G50" s="32" t="s">
        <v>18</v>
      </c>
      <c r="H50" s="560">
        <v>0.2</v>
      </c>
    </row>
    <row r="51" spans="1:8">
      <c r="A51" s="290"/>
      <c r="B51" s="328"/>
      <c r="C51" s="1078"/>
      <c r="D51" s="599"/>
      <c r="E51" s="467" t="s">
        <v>2502</v>
      </c>
      <c r="F51" s="457">
        <v>0.2</v>
      </c>
      <c r="G51" s="146"/>
      <c r="H51" s="561"/>
    </row>
    <row r="52" spans="1:8">
      <c r="A52" s="835"/>
      <c r="B52" s="836"/>
      <c r="C52" s="834"/>
      <c r="D52" s="773"/>
      <c r="E52" s="1074"/>
      <c r="F52" s="775"/>
      <c r="G52" s="776"/>
      <c r="H52" s="544"/>
    </row>
    <row r="53" spans="1:8">
      <c r="A53" s="835"/>
      <c r="B53" s="1075" t="s">
        <v>2473</v>
      </c>
      <c r="C53" s="834"/>
      <c r="D53" s="773"/>
      <c r="E53" s="1002" t="s">
        <v>2474</v>
      </c>
      <c r="F53" s="775"/>
      <c r="G53" s="776"/>
      <c r="H53" s="544"/>
    </row>
    <row r="54" spans="1:8">
      <c r="A54" s="334">
        <f>MAX(A$1:A53)+1</f>
        <v>9</v>
      </c>
      <c r="B54" s="836"/>
      <c r="C54" s="953" t="s">
        <v>744</v>
      </c>
      <c r="D54" s="846"/>
      <c r="E54" s="1080" t="s">
        <v>745</v>
      </c>
      <c r="F54" s="775"/>
      <c r="G54" s="776" t="s">
        <v>36</v>
      </c>
      <c r="H54" s="1011">
        <v>15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15</v>
      </c>
    </row>
    <row r="56" spans="1:8">
      <c r="A56" s="835"/>
      <c r="B56" s="836"/>
      <c r="C56" s="834"/>
      <c r="D56" s="773"/>
      <c r="E56" s="1018" t="s">
        <v>2475</v>
      </c>
      <c r="F56" s="990">
        <v>15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15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15</v>
      </c>
    </row>
    <row r="62" spans="1:8">
      <c r="A62" s="1027"/>
      <c r="B62" s="1085"/>
      <c r="C62" s="1023"/>
      <c r="D62" s="1013"/>
      <c r="E62" s="1018" t="s">
        <v>2476</v>
      </c>
      <c r="F62" s="1035">
        <v>15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15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15</v>
      </c>
    </row>
    <row r="66" spans="1:8">
      <c r="A66" s="1091"/>
      <c r="B66" s="495"/>
      <c r="C66" s="1092"/>
      <c r="D66" s="1093"/>
      <c r="E66" s="1095" t="s">
        <v>2477</v>
      </c>
      <c r="F66" s="565">
        <v>15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39"/>
      <c r="G68" s="40" t="s">
        <v>33</v>
      </c>
      <c r="H68" s="540">
        <v>2</v>
      </c>
    </row>
    <row r="69" spans="1:8" ht="25.5">
      <c r="A69" s="1091"/>
      <c r="B69" s="495"/>
      <c r="C69" s="1096"/>
      <c r="D69" s="1093">
        <v>9110010701</v>
      </c>
      <c r="E69" s="297" t="s">
        <v>2478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119" t="s">
        <v>2479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6UQlwnh9FqJiEhoRDUN/72WgD1gq6Bae/ub+Ms7vEGIJaoay8eHmb0euT7E8snZRyzRHBzS83DOxU3NhAPLFxQ==" saltValue="rAqdktv6m+5m0GJb2j6NX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E84E-CF07-4252-8B7E-37313F21D3E2}">
  <sheetPr codeName="Hárok27"/>
  <dimension ref="A1:I96"/>
  <sheetViews>
    <sheetView showGridLines="0" workbookViewId="0">
      <selection activeCell="H3" sqref="H3:H4"/>
    </sheetView>
  </sheetViews>
  <sheetFormatPr defaultRowHeight="12.75"/>
  <cols>
    <col min="1" max="1" width="4.7109375" style="1124" customWidth="1"/>
    <col min="2" max="2" width="9.28515625" style="1124" customWidth="1"/>
    <col min="3" max="3" width="9" style="1124" customWidth="1"/>
    <col min="4" max="4" width="10.85546875" style="1124" customWidth="1"/>
    <col min="5" max="5" width="52.7109375" style="1124" customWidth="1"/>
    <col min="6" max="6" width="9.85546875" style="1121" customWidth="1"/>
    <col min="7" max="7" width="5.7109375" style="1169" customWidth="1"/>
    <col min="8" max="8" width="10.140625" style="1123" customWidth="1"/>
    <col min="9" max="250" width="9.140625" style="1124"/>
    <col min="251" max="251" width="4.7109375" style="1124" customWidth="1"/>
    <col min="252" max="252" width="9.28515625" style="1124" customWidth="1"/>
    <col min="253" max="253" width="9" style="1124" customWidth="1"/>
    <col min="254" max="254" width="10.85546875" style="1124" customWidth="1"/>
    <col min="255" max="255" width="52.7109375" style="1124" customWidth="1"/>
    <col min="256" max="256" width="9.85546875" style="1124" customWidth="1"/>
    <col min="257" max="257" width="5.7109375" style="1124" customWidth="1"/>
    <col min="258" max="258" width="10.140625" style="1124" customWidth="1"/>
    <col min="259" max="260" width="10.7109375" style="1124" customWidth="1"/>
    <col min="261" max="261" width="10.5703125" style="1124" customWidth="1"/>
    <col min="262" max="506" width="9.140625" style="1124"/>
    <col min="507" max="507" width="4.7109375" style="1124" customWidth="1"/>
    <col min="508" max="508" width="9.28515625" style="1124" customWidth="1"/>
    <col min="509" max="509" width="9" style="1124" customWidth="1"/>
    <col min="510" max="510" width="10.85546875" style="1124" customWidth="1"/>
    <col min="511" max="511" width="52.7109375" style="1124" customWidth="1"/>
    <col min="512" max="512" width="9.85546875" style="1124" customWidth="1"/>
    <col min="513" max="513" width="5.7109375" style="1124" customWidth="1"/>
    <col min="514" max="514" width="10.140625" style="1124" customWidth="1"/>
    <col min="515" max="516" width="10.7109375" style="1124" customWidth="1"/>
    <col min="517" max="517" width="10.5703125" style="1124" customWidth="1"/>
    <col min="518" max="762" width="9.140625" style="1124"/>
    <col min="763" max="763" width="4.7109375" style="1124" customWidth="1"/>
    <col min="764" max="764" width="9.28515625" style="1124" customWidth="1"/>
    <col min="765" max="765" width="9" style="1124" customWidth="1"/>
    <col min="766" max="766" width="10.85546875" style="1124" customWidth="1"/>
    <col min="767" max="767" width="52.7109375" style="1124" customWidth="1"/>
    <col min="768" max="768" width="9.85546875" style="1124" customWidth="1"/>
    <col min="769" max="769" width="5.7109375" style="1124" customWidth="1"/>
    <col min="770" max="770" width="10.140625" style="1124" customWidth="1"/>
    <col min="771" max="772" width="10.7109375" style="1124" customWidth="1"/>
    <col min="773" max="773" width="10.5703125" style="1124" customWidth="1"/>
    <col min="774" max="1018" width="9.140625" style="1124"/>
    <col min="1019" max="1019" width="4.7109375" style="1124" customWidth="1"/>
    <col min="1020" max="1020" width="9.28515625" style="1124" customWidth="1"/>
    <col min="1021" max="1021" width="9" style="1124" customWidth="1"/>
    <col min="1022" max="1022" width="10.85546875" style="1124" customWidth="1"/>
    <col min="1023" max="1023" width="52.7109375" style="1124" customWidth="1"/>
    <col min="1024" max="1024" width="9.85546875" style="1124" customWidth="1"/>
    <col min="1025" max="1025" width="5.7109375" style="1124" customWidth="1"/>
    <col min="1026" max="1026" width="10.140625" style="1124" customWidth="1"/>
    <col min="1027" max="1028" width="10.7109375" style="1124" customWidth="1"/>
    <col min="1029" max="1029" width="10.5703125" style="1124" customWidth="1"/>
    <col min="1030" max="1274" width="9.140625" style="1124"/>
    <col min="1275" max="1275" width="4.7109375" style="1124" customWidth="1"/>
    <col min="1276" max="1276" width="9.28515625" style="1124" customWidth="1"/>
    <col min="1277" max="1277" width="9" style="1124" customWidth="1"/>
    <col min="1278" max="1278" width="10.85546875" style="1124" customWidth="1"/>
    <col min="1279" max="1279" width="52.7109375" style="1124" customWidth="1"/>
    <col min="1280" max="1280" width="9.85546875" style="1124" customWidth="1"/>
    <col min="1281" max="1281" width="5.7109375" style="1124" customWidth="1"/>
    <col min="1282" max="1282" width="10.140625" style="1124" customWidth="1"/>
    <col min="1283" max="1284" width="10.7109375" style="1124" customWidth="1"/>
    <col min="1285" max="1285" width="10.5703125" style="1124" customWidth="1"/>
    <col min="1286" max="1530" width="9.140625" style="1124"/>
    <col min="1531" max="1531" width="4.7109375" style="1124" customWidth="1"/>
    <col min="1532" max="1532" width="9.28515625" style="1124" customWidth="1"/>
    <col min="1533" max="1533" width="9" style="1124" customWidth="1"/>
    <col min="1534" max="1534" width="10.85546875" style="1124" customWidth="1"/>
    <col min="1535" max="1535" width="52.7109375" style="1124" customWidth="1"/>
    <col min="1536" max="1536" width="9.85546875" style="1124" customWidth="1"/>
    <col min="1537" max="1537" width="5.7109375" style="1124" customWidth="1"/>
    <col min="1538" max="1538" width="10.140625" style="1124" customWidth="1"/>
    <col min="1539" max="1540" width="10.7109375" style="1124" customWidth="1"/>
    <col min="1541" max="1541" width="10.5703125" style="1124" customWidth="1"/>
    <col min="1542" max="1786" width="9.140625" style="1124"/>
    <col min="1787" max="1787" width="4.7109375" style="1124" customWidth="1"/>
    <col min="1788" max="1788" width="9.28515625" style="1124" customWidth="1"/>
    <col min="1789" max="1789" width="9" style="1124" customWidth="1"/>
    <col min="1790" max="1790" width="10.85546875" style="1124" customWidth="1"/>
    <col min="1791" max="1791" width="52.7109375" style="1124" customWidth="1"/>
    <col min="1792" max="1792" width="9.85546875" style="1124" customWidth="1"/>
    <col min="1793" max="1793" width="5.7109375" style="1124" customWidth="1"/>
    <col min="1794" max="1794" width="10.140625" style="1124" customWidth="1"/>
    <col min="1795" max="1796" width="10.7109375" style="1124" customWidth="1"/>
    <col min="1797" max="1797" width="10.5703125" style="1124" customWidth="1"/>
    <col min="1798" max="2042" width="9.140625" style="1124"/>
    <col min="2043" max="2043" width="4.7109375" style="1124" customWidth="1"/>
    <col min="2044" max="2044" width="9.28515625" style="1124" customWidth="1"/>
    <col min="2045" max="2045" width="9" style="1124" customWidth="1"/>
    <col min="2046" max="2046" width="10.85546875" style="1124" customWidth="1"/>
    <col min="2047" max="2047" width="52.7109375" style="1124" customWidth="1"/>
    <col min="2048" max="2048" width="9.85546875" style="1124" customWidth="1"/>
    <col min="2049" max="2049" width="5.7109375" style="1124" customWidth="1"/>
    <col min="2050" max="2050" width="10.140625" style="1124" customWidth="1"/>
    <col min="2051" max="2052" width="10.7109375" style="1124" customWidth="1"/>
    <col min="2053" max="2053" width="10.5703125" style="1124" customWidth="1"/>
    <col min="2054" max="2298" width="9.140625" style="1124"/>
    <col min="2299" max="2299" width="4.7109375" style="1124" customWidth="1"/>
    <col min="2300" max="2300" width="9.28515625" style="1124" customWidth="1"/>
    <col min="2301" max="2301" width="9" style="1124" customWidth="1"/>
    <col min="2302" max="2302" width="10.85546875" style="1124" customWidth="1"/>
    <col min="2303" max="2303" width="52.7109375" style="1124" customWidth="1"/>
    <col min="2304" max="2304" width="9.85546875" style="1124" customWidth="1"/>
    <col min="2305" max="2305" width="5.7109375" style="1124" customWidth="1"/>
    <col min="2306" max="2306" width="10.140625" style="1124" customWidth="1"/>
    <col min="2307" max="2308" width="10.7109375" style="1124" customWidth="1"/>
    <col min="2309" max="2309" width="10.5703125" style="1124" customWidth="1"/>
    <col min="2310" max="2554" width="9.140625" style="1124"/>
    <col min="2555" max="2555" width="4.7109375" style="1124" customWidth="1"/>
    <col min="2556" max="2556" width="9.28515625" style="1124" customWidth="1"/>
    <col min="2557" max="2557" width="9" style="1124" customWidth="1"/>
    <col min="2558" max="2558" width="10.85546875" style="1124" customWidth="1"/>
    <col min="2559" max="2559" width="52.7109375" style="1124" customWidth="1"/>
    <col min="2560" max="2560" width="9.85546875" style="1124" customWidth="1"/>
    <col min="2561" max="2561" width="5.7109375" style="1124" customWidth="1"/>
    <col min="2562" max="2562" width="10.140625" style="1124" customWidth="1"/>
    <col min="2563" max="2564" width="10.7109375" style="1124" customWidth="1"/>
    <col min="2565" max="2565" width="10.5703125" style="1124" customWidth="1"/>
    <col min="2566" max="2810" width="9.140625" style="1124"/>
    <col min="2811" max="2811" width="4.7109375" style="1124" customWidth="1"/>
    <col min="2812" max="2812" width="9.28515625" style="1124" customWidth="1"/>
    <col min="2813" max="2813" width="9" style="1124" customWidth="1"/>
    <col min="2814" max="2814" width="10.85546875" style="1124" customWidth="1"/>
    <col min="2815" max="2815" width="52.7109375" style="1124" customWidth="1"/>
    <col min="2816" max="2816" width="9.85546875" style="1124" customWidth="1"/>
    <col min="2817" max="2817" width="5.7109375" style="1124" customWidth="1"/>
    <col min="2818" max="2818" width="10.140625" style="1124" customWidth="1"/>
    <col min="2819" max="2820" width="10.7109375" style="1124" customWidth="1"/>
    <col min="2821" max="2821" width="10.5703125" style="1124" customWidth="1"/>
    <col min="2822" max="3066" width="9.140625" style="1124"/>
    <col min="3067" max="3067" width="4.7109375" style="1124" customWidth="1"/>
    <col min="3068" max="3068" width="9.28515625" style="1124" customWidth="1"/>
    <col min="3069" max="3069" width="9" style="1124" customWidth="1"/>
    <col min="3070" max="3070" width="10.85546875" style="1124" customWidth="1"/>
    <col min="3071" max="3071" width="52.7109375" style="1124" customWidth="1"/>
    <col min="3072" max="3072" width="9.85546875" style="1124" customWidth="1"/>
    <col min="3073" max="3073" width="5.7109375" style="1124" customWidth="1"/>
    <col min="3074" max="3074" width="10.140625" style="1124" customWidth="1"/>
    <col min="3075" max="3076" width="10.7109375" style="1124" customWidth="1"/>
    <col min="3077" max="3077" width="10.5703125" style="1124" customWidth="1"/>
    <col min="3078" max="3322" width="9.140625" style="1124"/>
    <col min="3323" max="3323" width="4.7109375" style="1124" customWidth="1"/>
    <col min="3324" max="3324" width="9.28515625" style="1124" customWidth="1"/>
    <col min="3325" max="3325" width="9" style="1124" customWidth="1"/>
    <col min="3326" max="3326" width="10.85546875" style="1124" customWidth="1"/>
    <col min="3327" max="3327" width="52.7109375" style="1124" customWidth="1"/>
    <col min="3328" max="3328" width="9.85546875" style="1124" customWidth="1"/>
    <col min="3329" max="3329" width="5.7109375" style="1124" customWidth="1"/>
    <col min="3330" max="3330" width="10.140625" style="1124" customWidth="1"/>
    <col min="3331" max="3332" width="10.7109375" style="1124" customWidth="1"/>
    <col min="3333" max="3333" width="10.5703125" style="1124" customWidth="1"/>
    <col min="3334" max="3578" width="9.140625" style="1124"/>
    <col min="3579" max="3579" width="4.7109375" style="1124" customWidth="1"/>
    <col min="3580" max="3580" width="9.28515625" style="1124" customWidth="1"/>
    <col min="3581" max="3581" width="9" style="1124" customWidth="1"/>
    <col min="3582" max="3582" width="10.85546875" style="1124" customWidth="1"/>
    <col min="3583" max="3583" width="52.7109375" style="1124" customWidth="1"/>
    <col min="3584" max="3584" width="9.85546875" style="1124" customWidth="1"/>
    <col min="3585" max="3585" width="5.7109375" style="1124" customWidth="1"/>
    <col min="3586" max="3586" width="10.140625" style="1124" customWidth="1"/>
    <col min="3587" max="3588" width="10.7109375" style="1124" customWidth="1"/>
    <col min="3589" max="3589" width="10.5703125" style="1124" customWidth="1"/>
    <col min="3590" max="3834" width="9.140625" style="1124"/>
    <col min="3835" max="3835" width="4.7109375" style="1124" customWidth="1"/>
    <col min="3836" max="3836" width="9.28515625" style="1124" customWidth="1"/>
    <col min="3837" max="3837" width="9" style="1124" customWidth="1"/>
    <col min="3838" max="3838" width="10.85546875" style="1124" customWidth="1"/>
    <col min="3839" max="3839" width="52.7109375" style="1124" customWidth="1"/>
    <col min="3840" max="3840" width="9.85546875" style="1124" customWidth="1"/>
    <col min="3841" max="3841" width="5.7109375" style="1124" customWidth="1"/>
    <col min="3842" max="3842" width="10.140625" style="1124" customWidth="1"/>
    <col min="3843" max="3844" width="10.7109375" style="1124" customWidth="1"/>
    <col min="3845" max="3845" width="10.5703125" style="1124" customWidth="1"/>
    <col min="3846" max="4090" width="9.140625" style="1124"/>
    <col min="4091" max="4091" width="4.7109375" style="1124" customWidth="1"/>
    <col min="4092" max="4092" width="9.28515625" style="1124" customWidth="1"/>
    <col min="4093" max="4093" width="9" style="1124" customWidth="1"/>
    <col min="4094" max="4094" width="10.85546875" style="1124" customWidth="1"/>
    <col min="4095" max="4095" width="52.7109375" style="1124" customWidth="1"/>
    <col min="4096" max="4096" width="9.85546875" style="1124" customWidth="1"/>
    <col min="4097" max="4097" width="5.7109375" style="1124" customWidth="1"/>
    <col min="4098" max="4098" width="10.140625" style="1124" customWidth="1"/>
    <col min="4099" max="4100" width="10.7109375" style="1124" customWidth="1"/>
    <col min="4101" max="4101" width="10.5703125" style="1124" customWidth="1"/>
    <col min="4102" max="4346" width="9.140625" style="1124"/>
    <col min="4347" max="4347" width="4.7109375" style="1124" customWidth="1"/>
    <col min="4348" max="4348" width="9.28515625" style="1124" customWidth="1"/>
    <col min="4349" max="4349" width="9" style="1124" customWidth="1"/>
    <col min="4350" max="4350" width="10.85546875" style="1124" customWidth="1"/>
    <col min="4351" max="4351" width="52.7109375" style="1124" customWidth="1"/>
    <col min="4352" max="4352" width="9.85546875" style="1124" customWidth="1"/>
    <col min="4353" max="4353" width="5.7109375" style="1124" customWidth="1"/>
    <col min="4354" max="4354" width="10.140625" style="1124" customWidth="1"/>
    <col min="4355" max="4356" width="10.7109375" style="1124" customWidth="1"/>
    <col min="4357" max="4357" width="10.5703125" style="1124" customWidth="1"/>
    <col min="4358" max="4602" width="9.140625" style="1124"/>
    <col min="4603" max="4603" width="4.7109375" style="1124" customWidth="1"/>
    <col min="4604" max="4604" width="9.28515625" style="1124" customWidth="1"/>
    <col min="4605" max="4605" width="9" style="1124" customWidth="1"/>
    <col min="4606" max="4606" width="10.85546875" style="1124" customWidth="1"/>
    <col min="4607" max="4607" width="52.7109375" style="1124" customWidth="1"/>
    <col min="4608" max="4608" width="9.85546875" style="1124" customWidth="1"/>
    <col min="4609" max="4609" width="5.7109375" style="1124" customWidth="1"/>
    <col min="4610" max="4610" width="10.140625" style="1124" customWidth="1"/>
    <col min="4611" max="4612" width="10.7109375" style="1124" customWidth="1"/>
    <col min="4613" max="4613" width="10.5703125" style="1124" customWidth="1"/>
    <col min="4614" max="4858" width="9.140625" style="1124"/>
    <col min="4859" max="4859" width="4.7109375" style="1124" customWidth="1"/>
    <col min="4860" max="4860" width="9.28515625" style="1124" customWidth="1"/>
    <col min="4861" max="4861" width="9" style="1124" customWidth="1"/>
    <col min="4862" max="4862" width="10.85546875" style="1124" customWidth="1"/>
    <col min="4863" max="4863" width="52.7109375" style="1124" customWidth="1"/>
    <col min="4864" max="4864" width="9.85546875" style="1124" customWidth="1"/>
    <col min="4865" max="4865" width="5.7109375" style="1124" customWidth="1"/>
    <col min="4866" max="4866" width="10.140625" style="1124" customWidth="1"/>
    <col min="4867" max="4868" width="10.7109375" style="1124" customWidth="1"/>
    <col min="4869" max="4869" width="10.5703125" style="1124" customWidth="1"/>
    <col min="4870" max="5114" width="9.140625" style="1124"/>
    <col min="5115" max="5115" width="4.7109375" style="1124" customWidth="1"/>
    <col min="5116" max="5116" width="9.28515625" style="1124" customWidth="1"/>
    <col min="5117" max="5117" width="9" style="1124" customWidth="1"/>
    <col min="5118" max="5118" width="10.85546875" style="1124" customWidth="1"/>
    <col min="5119" max="5119" width="52.7109375" style="1124" customWidth="1"/>
    <col min="5120" max="5120" width="9.85546875" style="1124" customWidth="1"/>
    <col min="5121" max="5121" width="5.7109375" style="1124" customWidth="1"/>
    <col min="5122" max="5122" width="10.140625" style="1124" customWidth="1"/>
    <col min="5123" max="5124" width="10.7109375" style="1124" customWidth="1"/>
    <col min="5125" max="5125" width="10.5703125" style="1124" customWidth="1"/>
    <col min="5126" max="5370" width="9.140625" style="1124"/>
    <col min="5371" max="5371" width="4.7109375" style="1124" customWidth="1"/>
    <col min="5372" max="5372" width="9.28515625" style="1124" customWidth="1"/>
    <col min="5373" max="5373" width="9" style="1124" customWidth="1"/>
    <col min="5374" max="5374" width="10.85546875" style="1124" customWidth="1"/>
    <col min="5375" max="5375" width="52.7109375" style="1124" customWidth="1"/>
    <col min="5376" max="5376" width="9.85546875" style="1124" customWidth="1"/>
    <col min="5377" max="5377" width="5.7109375" style="1124" customWidth="1"/>
    <col min="5378" max="5378" width="10.140625" style="1124" customWidth="1"/>
    <col min="5379" max="5380" width="10.7109375" style="1124" customWidth="1"/>
    <col min="5381" max="5381" width="10.5703125" style="1124" customWidth="1"/>
    <col min="5382" max="5626" width="9.140625" style="1124"/>
    <col min="5627" max="5627" width="4.7109375" style="1124" customWidth="1"/>
    <col min="5628" max="5628" width="9.28515625" style="1124" customWidth="1"/>
    <col min="5629" max="5629" width="9" style="1124" customWidth="1"/>
    <col min="5630" max="5630" width="10.85546875" style="1124" customWidth="1"/>
    <col min="5631" max="5631" width="52.7109375" style="1124" customWidth="1"/>
    <col min="5632" max="5632" width="9.85546875" style="1124" customWidth="1"/>
    <col min="5633" max="5633" width="5.7109375" style="1124" customWidth="1"/>
    <col min="5634" max="5634" width="10.140625" style="1124" customWidth="1"/>
    <col min="5635" max="5636" width="10.7109375" style="1124" customWidth="1"/>
    <col min="5637" max="5637" width="10.5703125" style="1124" customWidth="1"/>
    <col min="5638" max="5882" width="9.140625" style="1124"/>
    <col min="5883" max="5883" width="4.7109375" style="1124" customWidth="1"/>
    <col min="5884" max="5884" width="9.28515625" style="1124" customWidth="1"/>
    <col min="5885" max="5885" width="9" style="1124" customWidth="1"/>
    <col min="5886" max="5886" width="10.85546875" style="1124" customWidth="1"/>
    <col min="5887" max="5887" width="52.7109375" style="1124" customWidth="1"/>
    <col min="5888" max="5888" width="9.85546875" style="1124" customWidth="1"/>
    <col min="5889" max="5889" width="5.7109375" style="1124" customWidth="1"/>
    <col min="5890" max="5890" width="10.140625" style="1124" customWidth="1"/>
    <col min="5891" max="5892" width="10.7109375" style="1124" customWidth="1"/>
    <col min="5893" max="5893" width="10.5703125" style="1124" customWidth="1"/>
    <col min="5894" max="6138" width="9.140625" style="1124"/>
    <col min="6139" max="6139" width="4.7109375" style="1124" customWidth="1"/>
    <col min="6140" max="6140" width="9.28515625" style="1124" customWidth="1"/>
    <col min="6141" max="6141" width="9" style="1124" customWidth="1"/>
    <col min="6142" max="6142" width="10.85546875" style="1124" customWidth="1"/>
    <col min="6143" max="6143" width="52.7109375" style="1124" customWidth="1"/>
    <col min="6144" max="6144" width="9.85546875" style="1124" customWidth="1"/>
    <col min="6145" max="6145" width="5.7109375" style="1124" customWidth="1"/>
    <col min="6146" max="6146" width="10.140625" style="1124" customWidth="1"/>
    <col min="6147" max="6148" width="10.7109375" style="1124" customWidth="1"/>
    <col min="6149" max="6149" width="10.5703125" style="1124" customWidth="1"/>
    <col min="6150" max="6394" width="9.140625" style="1124"/>
    <col min="6395" max="6395" width="4.7109375" style="1124" customWidth="1"/>
    <col min="6396" max="6396" width="9.28515625" style="1124" customWidth="1"/>
    <col min="6397" max="6397" width="9" style="1124" customWidth="1"/>
    <col min="6398" max="6398" width="10.85546875" style="1124" customWidth="1"/>
    <col min="6399" max="6399" width="52.7109375" style="1124" customWidth="1"/>
    <col min="6400" max="6400" width="9.85546875" style="1124" customWidth="1"/>
    <col min="6401" max="6401" width="5.7109375" style="1124" customWidth="1"/>
    <col min="6402" max="6402" width="10.140625" style="1124" customWidth="1"/>
    <col min="6403" max="6404" width="10.7109375" style="1124" customWidth="1"/>
    <col min="6405" max="6405" width="10.5703125" style="1124" customWidth="1"/>
    <col min="6406" max="6650" width="9.140625" style="1124"/>
    <col min="6651" max="6651" width="4.7109375" style="1124" customWidth="1"/>
    <col min="6652" max="6652" width="9.28515625" style="1124" customWidth="1"/>
    <col min="6653" max="6653" width="9" style="1124" customWidth="1"/>
    <col min="6654" max="6654" width="10.85546875" style="1124" customWidth="1"/>
    <col min="6655" max="6655" width="52.7109375" style="1124" customWidth="1"/>
    <col min="6656" max="6656" width="9.85546875" style="1124" customWidth="1"/>
    <col min="6657" max="6657" width="5.7109375" style="1124" customWidth="1"/>
    <col min="6658" max="6658" width="10.140625" style="1124" customWidth="1"/>
    <col min="6659" max="6660" width="10.7109375" style="1124" customWidth="1"/>
    <col min="6661" max="6661" width="10.5703125" style="1124" customWidth="1"/>
    <col min="6662" max="6906" width="9.140625" style="1124"/>
    <col min="6907" max="6907" width="4.7109375" style="1124" customWidth="1"/>
    <col min="6908" max="6908" width="9.28515625" style="1124" customWidth="1"/>
    <col min="6909" max="6909" width="9" style="1124" customWidth="1"/>
    <col min="6910" max="6910" width="10.85546875" style="1124" customWidth="1"/>
    <col min="6911" max="6911" width="52.7109375" style="1124" customWidth="1"/>
    <col min="6912" max="6912" width="9.85546875" style="1124" customWidth="1"/>
    <col min="6913" max="6913" width="5.7109375" style="1124" customWidth="1"/>
    <col min="6914" max="6914" width="10.140625" style="1124" customWidth="1"/>
    <col min="6915" max="6916" width="10.7109375" style="1124" customWidth="1"/>
    <col min="6917" max="6917" width="10.5703125" style="1124" customWidth="1"/>
    <col min="6918" max="7162" width="9.140625" style="1124"/>
    <col min="7163" max="7163" width="4.7109375" style="1124" customWidth="1"/>
    <col min="7164" max="7164" width="9.28515625" style="1124" customWidth="1"/>
    <col min="7165" max="7165" width="9" style="1124" customWidth="1"/>
    <col min="7166" max="7166" width="10.85546875" style="1124" customWidth="1"/>
    <col min="7167" max="7167" width="52.7109375" style="1124" customWidth="1"/>
    <col min="7168" max="7168" width="9.85546875" style="1124" customWidth="1"/>
    <col min="7169" max="7169" width="5.7109375" style="1124" customWidth="1"/>
    <col min="7170" max="7170" width="10.140625" style="1124" customWidth="1"/>
    <col min="7171" max="7172" width="10.7109375" style="1124" customWidth="1"/>
    <col min="7173" max="7173" width="10.5703125" style="1124" customWidth="1"/>
    <col min="7174" max="7418" width="9.140625" style="1124"/>
    <col min="7419" max="7419" width="4.7109375" style="1124" customWidth="1"/>
    <col min="7420" max="7420" width="9.28515625" style="1124" customWidth="1"/>
    <col min="7421" max="7421" width="9" style="1124" customWidth="1"/>
    <col min="7422" max="7422" width="10.85546875" style="1124" customWidth="1"/>
    <col min="7423" max="7423" width="52.7109375" style="1124" customWidth="1"/>
    <col min="7424" max="7424" width="9.85546875" style="1124" customWidth="1"/>
    <col min="7425" max="7425" width="5.7109375" style="1124" customWidth="1"/>
    <col min="7426" max="7426" width="10.140625" style="1124" customWidth="1"/>
    <col min="7427" max="7428" width="10.7109375" style="1124" customWidth="1"/>
    <col min="7429" max="7429" width="10.5703125" style="1124" customWidth="1"/>
    <col min="7430" max="7674" width="9.140625" style="1124"/>
    <col min="7675" max="7675" width="4.7109375" style="1124" customWidth="1"/>
    <col min="7676" max="7676" width="9.28515625" style="1124" customWidth="1"/>
    <col min="7677" max="7677" width="9" style="1124" customWidth="1"/>
    <col min="7678" max="7678" width="10.85546875" style="1124" customWidth="1"/>
    <col min="7679" max="7679" width="52.7109375" style="1124" customWidth="1"/>
    <col min="7680" max="7680" width="9.85546875" style="1124" customWidth="1"/>
    <col min="7681" max="7681" width="5.7109375" style="1124" customWidth="1"/>
    <col min="7682" max="7682" width="10.140625" style="1124" customWidth="1"/>
    <col min="7683" max="7684" width="10.7109375" style="1124" customWidth="1"/>
    <col min="7685" max="7685" width="10.5703125" style="1124" customWidth="1"/>
    <col min="7686" max="7930" width="9.140625" style="1124"/>
    <col min="7931" max="7931" width="4.7109375" style="1124" customWidth="1"/>
    <col min="7932" max="7932" width="9.28515625" style="1124" customWidth="1"/>
    <col min="7933" max="7933" width="9" style="1124" customWidth="1"/>
    <col min="7934" max="7934" width="10.85546875" style="1124" customWidth="1"/>
    <col min="7935" max="7935" width="52.7109375" style="1124" customWidth="1"/>
    <col min="7936" max="7936" width="9.85546875" style="1124" customWidth="1"/>
    <col min="7937" max="7937" width="5.7109375" style="1124" customWidth="1"/>
    <col min="7938" max="7938" width="10.140625" style="1124" customWidth="1"/>
    <col min="7939" max="7940" width="10.7109375" style="1124" customWidth="1"/>
    <col min="7941" max="7941" width="10.5703125" style="1124" customWidth="1"/>
    <col min="7942" max="8186" width="9.140625" style="1124"/>
    <col min="8187" max="8187" width="4.7109375" style="1124" customWidth="1"/>
    <col min="8188" max="8188" width="9.28515625" style="1124" customWidth="1"/>
    <col min="8189" max="8189" width="9" style="1124" customWidth="1"/>
    <col min="8190" max="8190" width="10.85546875" style="1124" customWidth="1"/>
    <col min="8191" max="8191" width="52.7109375" style="1124" customWidth="1"/>
    <col min="8192" max="8192" width="9.85546875" style="1124" customWidth="1"/>
    <col min="8193" max="8193" width="5.7109375" style="1124" customWidth="1"/>
    <col min="8194" max="8194" width="10.140625" style="1124" customWidth="1"/>
    <col min="8195" max="8196" width="10.7109375" style="1124" customWidth="1"/>
    <col min="8197" max="8197" width="10.5703125" style="1124" customWidth="1"/>
    <col min="8198" max="8442" width="9.140625" style="1124"/>
    <col min="8443" max="8443" width="4.7109375" style="1124" customWidth="1"/>
    <col min="8444" max="8444" width="9.28515625" style="1124" customWidth="1"/>
    <col min="8445" max="8445" width="9" style="1124" customWidth="1"/>
    <col min="8446" max="8446" width="10.85546875" style="1124" customWidth="1"/>
    <col min="8447" max="8447" width="52.7109375" style="1124" customWidth="1"/>
    <col min="8448" max="8448" width="9.85546875" style="1124" customWidth="1"/>
    <col min="8449" max="8449" width="5.7109375" style="1124" customWidth="1"/>
    <col min="8450" max="8450" width="10.140625" style="1124" customWidth="1"/>
    <col min="8451" max="8452" width="10.7109375" style="1124" customWidth="1"/>
    <col min="8453" max="8453" width="10.5703125" style="1124" customWidth="1"/>
    <col min="8454" max="8698" width="9.140625" style="1124"/>
    <col min="8699" max="8699" width="4.7109375" style="1124" customWidth="1"/>
    <col min="8700" max="8700" width="9.28515625" style="1124" customWidth="1"/>
    <col min="8701" max="8701" width="9" style="1124" customWidth="1"/>
    <col min="8702" max="8702" width="10.85546875" style="1124" customWidth="1"/>
    <col min="8703" max="8703" width="52.7109375" style="1124" customWidth="1"/>
    <col min="8704" max="8704" width="9.85546875" style="1124" customWidth="1"/>
    <col min="8705" max="8705" width="5.7109375" style="1124" customWidth="1"/>
    <col min="8706" max="8706" width="10.140625" style="1124" customWidth="1"/>
    <col min="8707" max="8708" width="10.7109375" style="1124" customWidth="1"/>
    <col min="8709" max="8709" width="10.5703125" style="1124" customWidth="1"/>
    <col min="8710" max="8954" width="9.140625" style="1124"/>
    <col min="8955" max="8955" width="4.7109375" style="1124" customWidth="1"/>
    <col min="8956" max="8956" width="9.28515625" style="1124" customWidth="1"/>
    <col min="8957" max="8957" width="9" style="1124" customWidth="1"/>
    <col min="8958" max="8958" width="10.85546875" style="1124" customWidth="1"/>
    <col min="8959" max="8959" width="52.7109375" style="1124" customWidth="1"/>
    <col min="8960" max="8960" width="9.85546875" style="1124" customWidth="1"/>
    <col min="8961" max="8961" width="5.7109375" style="1124" customWidth="1"/>
    <col min="8962" max="8962" width="10.140625" style="1124" customWidth="1"/>
    <col min="8963" max="8964" width="10.7109375" style="1124" customWidth="1"/>
    <col min="8965" max="8965" width="10.5703125" style="1124" customWidth="1"/>
    <col min="8966" max="9210" width="9.140625" style="1124"/>
    <col min="9211" max="9211" width="4.7109375" style="1124" customWidth="1"/>
    <col min="9212" max="9212" width="9.28515625" style="1124" customWidth="1"/>
    <col min="9213" max="9213" width="9" style="1124" customWidth="1"/>
    <col min="9214" max="9214" width="10.85546875" style="1124" customWidth="1"/>
    <col min="9215" max="9215" width="52.7109375" style="1124" customWidth="1"/>
    <col min="9216" max="9216" width="9.85546875" style="1124" customWidth="1"/>
    <col min="9217" max="9217" width="5.7109375" style="1124" customWidth="1"/>
    <col min="9218" max="9218" width="10.140625" style="1124" customWidth="1"/>
    <col min="9219" max="9220" width="10.7109375" style="1124" customWidth="1"/>
    <col min="9221" max="9221" width="10.5703125" style="1124" customWidth="1"/>
    <col min="9222" max="9466" width="9.140625" style="1124"/>
    <col min="9467" max="9467" width="4.7109375" style="1124" customWidth="1"/>
    <col min="9468" max="9468" width="9.28515625" style="1124" customWidth="1"/>
    <col min="9469" max="9469" width="9" style="1124" customWidth="1"/>
    <col min="9470" max="9470" width="10.85546875" style="1124" customWidth="1"/>
    <col min="9471" max="9471" width="52.7109375" style="1124" customWidth="1"/>
    <col min="9472" max="9472" width="9.85546875" style="1124" customWidth="1"/>
    <col min="9473" max="9473" width="5.7109375" style="1124" customWidth="1"/>
    <col min="9474" max="9474" width="10.140625" style="1124" customWidth="1"/>
    <col min="9475" max="9476" width="10.7109375" style="1124" customWidth="1"/>
    <col min="9477" max="9477" width="10.5703125" style="1124" customWidth="1"/>
    <col min="9478" max="9722" width="9.140625" style="1124"/>
    <col min="9723" max="9723" width="4.7109375" style="1124" customWidth="1"/>
    <col min="9724" max="9724" width="9.28515625" style="1124" customWidth="1"/>
    <col min="9725" max="9725" width="9" style="1124" customWidth="1"/>
    <col min="9726" max="9726" width="10.85546875" style="1124" customWidth="1"/>
    <col min="9727" max="9727" width="52.7109375" style="1124" customWidth="1"/>
    <col min="9728" max="9728" width="9.85546875" style="1124" customWidth="1"/>
    <col min="9729" max="9729" width="5.7109375" style="1124" customWidth="1"/>
    <col min="9730" max="9730" width="10.140625" style="1124" customWidth="1"/>
    <col min="9731" max="9732" width="10.7109375" style="1124" customWidth="1"/>
    <col min="9733" max="9733" width="10.5703125" style="1124" customWidth="1"/>
    <col min="9734" max="9978" width="9.140625" style="1124"/>
    <col min="9979" max="9979" width="4.7109375" style="1124" customWidth="1"/>
    <col min="9980" max="9980" width="9.28515625" style="1124" customWidth="1"/>
    <col min="9981" max="9981" width="9" style="1124" customWidth="1"/>
    <col min="9982" max="9982" width="10.85546875" style="1124" customWidth="1"/>
    <col min="9983" max="9983" width="52.7109375" style="1124" customWidth="1"/>
    <col min="9984" max="9984" width="9.85546875" style="1124" customWidth="1"/>
    <col min="9985" max="9985" width="5.7109375" style="1124" customWidth="1"/>
    <col min="9986" max="9986" width="10.140625" style="1124" customWidth="1"/>
    <col min="9987" max="9988" width="10.7109375" style="1124" customWidth="1"/>
    <col min="9989" max="9989" width="10.5703125" style="1124" customWidth="1"/>
    <col min="9990" max="10234" width="9.140625" style="1124"/>
    <col min="10235" max="10235" width="4.7109375" style="1124" customWidth="1"/>
    <col min="10236" max="10236" width="9.28515625" style="1124" customWidth="1"/>
    <col min="10237" max="10237" width="9" style="1124" customWidth="1"/>
    <col min="10238" max="10238" width="10.85546875" style="1124" customWidth="1"/>
    <col min="10239" max="10239" width="52.7109375" style="1124" customWidth="1"/>
    <col min="10240" max="10240" width="9.85546875" style="1124" customWidth="1"/>
    <col min="10241" max="10241" width="5.7109375" style="1124" customWidth="1"/>
    <col min="10242" max="10242" width="10.140625" style="1124" customWidth="1"/>
    <col min="10243" max="10244" width="10.7109375" style="1124" customWidth="1"/>
    <col min="10245" max="10245" width="10.5703125" style="1124" customWidth="1"/>
    <col min="10246" max="10490" width="9.140625" style="1124"/>
    <col min="10491" max="10491" width="4.7109375" style="1124" customWidth="1"/>
    <col min="10492" max="10492" width="9.28515625" style="1124" customWidth="1"/>
    <col min="10493" max="10493" width="9" style="1124" customWidth="1"/>
    <col min="10494" max="10494" width="10.85546875" style="1124" customWidth="1"/>
    <col min="10495" max="10495" width="52.7109375" style="1124" customWidth="1"/>
    <col min="10496" max="10496" width="9.85546875" style="1124" customWidth="1"/>
    <col min="10497" max="10497" width="5.7109375" style="1124" customWidth="1"/>
    <col min="10498" max="10498" width="10.140625" style="1124" customWidth="1"/>
    <col min="10499" max="10500" width="10.7109375" style="1124" customWidth="1"/>
    <col min="10501" max="10501" width="10.5703125" style="1124" customWidth="1"/>
    <col min="10502" max="10746" width="9.140625" style="1124"/>
    <col min="10747" max="10747" width="4.7109375" style="1124" customWidth="1"/>
    <col min="10748" max="10748" width="9.28515625" style="1124" customWidth="1"/>
    <col min="10749" max="10749" width="9" style="1124" customWidth="1"/>
    <col min="10750" max="10750" width="10.85546875" style="1124" customWidth="1"/>
    <col min="10751" max="10751" width="52.7109375" style="1124" customWidth="1"/>
    <col min="10752" max="10752" width="9.85546875" style="1124" customWidth="1"/>
    <col min="10753" max="10753" width="5.7109375" style="1124" customWidth="1"/>
    <col min="10754" max="10754" width="10.140625" style="1124" customWidth="1"/>
    <col min="10755" max="10756" width="10.7109375" style="1124" customWidth="1"/>
    <col min="10757" max="10757" width="10.5703125" style="1124" customWidth="1"/>
    <col min="10758" max="11002" width="9.140625" style="1124"/>
    <col min="11003" max="11003" width="4.7109375" style="1124" customWidth="1"/>
    <col min="11004" max="11004" width="9.28515625" style="1124" customWidth="1"/>
    <col min="11005" max="11005" width="9" style="1124" customWidth="1"/>
    <col min="11006" max="11006" width="10.85546875" style="1124" customWidth="1"/>
    <col min="11007" max="11007" width="52.7109375" style="1124" customWidth="1"/>
    <col min="11008" max="11008" width="9.85546875" style="1124" customWidth="1"/>
    <col min="11009" max="11009" width="5.7109375" style="1124" customWidth="1"/>
    <col min="11010" max="11010" width="10.140625" style="1124" customWidth="1"/>
    <col min="11011" max="11012" width="10.7109375" style="1124" customWidth="1"/>
    <col min="11013" max="11013" width="10.5703125" style="1124" customWidth="1"/>
    <col min="11014" max="11258" width="9.140625" style="1124"/>
    <col min="11259" max="11259" width="4.7109375" style="1124" customWidth="1"/>
    <col min="11260" max="11260" width="9.28515625" style="1124" customWidth="1"/>
    <col min="11261" max="11261" width="9" style="1124" customWidth="1"/>
    <col min="11262" max="11262" width="10.85546875" style="1124" customWidth="1"/>
    <col min="11263" max="11263" width="52.7109375" style="1124" customWidth="1"/>
    <col min="11264" max="11264" width="9.85546875" style="1124" customWidth="1"/>
    <col min="11265" max="11265" width="5.7109375" style="1124" customWidth="1"/>
    <col min="11266" max="11266" width="10.140625" style="1124" customWidth="1"/>
    <col min="11267" max="11268" width="10.7109375" style="1124" customWidth="1"/>
    <col min="11269" max="11269" width="10.5703125" style="1124" customWidth="1"/>
    <col min="11270" max="11514" width="9.140625" style="1124"/>
    <col min="11515" max="11515" width="4.7109375" style="1124" customWidth="1"/>
    <col min="11516" max="11516" width="9.28515625" style="1124" customWidth="1"/>
    <col min="11517" max="11517" width="9" style="1124" customWidth="1"/>
    <col min="11518" max="11518" width="10.85546875" style="1124" customWidth="1"/>
    <col min="11519" max="11519" width="52.7109375" style="1124" customWidth="1"/>
    <col min="11520" max="11520" width="9.85546875" style="1124" customWidth="1"/>
    <col min="11521" max="11521" width="5.7109375" style="1124" customWidth="1"/>
    <col min="11522" max="11522" width="10.140625" style="1124" customWidth="1"/>
    <col min="11523" max="11524" width="10.7109375" style="1124" customWidth="1"/>
    <col min="11525" max="11525" width="10.5703125" style="1124" customWidth="1"/>
    <col min="11526" max="11770" width="9.140625" style="1124"/>
    <col min="11771" max="11771" width="4.7109375" style="1124" customWidth="1"/>
    <col min="11772" max="11772" width="9.28515625" style="1124" customWidth="1"/>
    <col min="11773" max="11773" width="9" style="1124" customWidth="1"/>
    <col min="11774" max="11774" width="10.85546875" style="1124" customWidth="1"/>
    <col min="11775" max="11775" width="52.7109375" style="1124" customWidth="1"/>
    <col min="11776" max="11776" width="9.85546875" style="1124" customWidth="1"/>
    <col min="11777" max="11777" width="5.7109375" style="1124" customWidth="1"/>
    <col min="11778" max="11778" width="10.140625" style="1124" customWidth="1"/>
    <col min="11779" max="11780" width="10.7109375" style="1124" customWidth="1"/>
    <col min="11781" max="11781" width="10.5703125" style="1124" customWidth="1"/>
    <col min="11782" max="12026" width="9.140625" style="1124"/>
    <col min="12027" max="12027" width="4.7109375" style="1124" customWidth="1"/>
    <col min="12028" max="12028" width="9.28515625" style="1124" customWidth="1"/>
    <col min="12029" max="12029" width="9" style="1124" customWidth="1"/>
    <col min="12030" max="12030" width="10.85546875" style="1124" customWidth="1"/>
    <col min="12031" max="12031" width="52.7109375" style="1124" customWidth="1"/>
    <col min="12032" max="12032" width="9.85546875" style="1124" customWidth="1"/>
    <col min="12033" max="12033" width="5.7109375" style="1124" customWidth="1"/>
    <col min="12034" max="12034" width="10.140625" style="1124" customWidth="1"/>
    <col min="12035" max="12036" width="10.7109375" style="1124" customWidth="1"/>
    <col min="12037" max="12037" width="10.5703125" style="1124" customWidth="1"/>
    <col min="12038" max="12282" width="9.140625" style="1124"/>
    <col min="12283" max="12283" width="4.7109375" style="1124" customWidth="1"/>
    <col min="12284" max="12284" width="9.28515625" style="1124" customWidth="1"/>
    <col min="12285" max="12285" width="9" style="1124" customWidth="1"/>
    <col min="12286" max="12286" width="10.85546875" style="1124" customWidth="1"/>
    <col min="12287" max="12287" width="52.7109375" style="1124" customWidth="1"/>
    <col min="12288" max="12288" width="9.85546875" style="1124" customWidth="1"/>
    <col min="12289" max="12289" width="5.7109375" style="1124" customWidth="1"/>
    <col min="12290" max="12290" width="10.140625" style="1124" customWidth="1"/>
    <col min="12291" max="12292" width="10.7109375" style="1124" customWidth="1"/>
    <col min="12293" max="12293" width="10.5703125" style="1124" customWidth="1"/>
    <col min="12294" max="12538" width="9.140625" style="1124"/>
    <col min="12539" max="12539" width="4.7109375" style="1124" customWidth="1"/>
    <col min="12540" max="12540" width="9.28515625" style="1124" customWidth="1"/>
    <col min="12541" max="12541" width="9" style="1124" customWidth="1"/>
    <col min="12542" max="12542" width="10.85546875" style="1124" customWidth="1"/>
    <col min="12543" max="12543" width="52.7109375" style="1124" customWidth="1"/>
    <col min="12544" max="12544" width="9.85546875" style="1124" customWidth="1"/>
    <col min="12545" max="12545" width="5.7109375" style="1124" customWidth="1"/>
    <col min="12546" max="12546" width="10.140625" style="1124" customWidth="1"/>
    <col min="12547" max="12548" width="10.7109375" style="1124" customWidth="1"/>
    <col min="12549" max="12549" width="10.5703125" style="1124" customWidth="1"/>
    <col min="12550" max="12794" width="9.140625" style="1124"/>
    <col min="12795" max="12795" width="4.7109375" style="1124" customWidth="1"/>
    <col min="12796" max="12796" width="9.28515625" style="1124" customWidth="1"/>
    <col min="12797" max="12797" width="9" style="1124" customWidth="1"/>
    <col min="12798" max="12798" width="10.85546875" style="1124" customWidth="1"/>
    <col min="12799" max="12799" width="52.7109375" style="1124" customWidth="1"/>
    <col min="12800" max="12800" width="9.85546875" style="1124" customWidth="1"/>
    <col min="12801" max="12801" width="5.7109375" style="1124" customWidth="1"/>
    <col min="12802" max="12802" width="10.140625" style="1124" customWidth="1"/>
    <col min="12803" max="12804" width="10.7109375" style="1124" customWidth="1"/>
    <col min="12805" max="12805" width="10.5703125" style="1124" customWidth="1"/>
    <col min="12806" max="13050" width="9.140625" style="1124"/>
    <col min="13051" max="13051" width="4.7109375" style="1124" customWidth="1"/>
    <col min="13052" max="13052" width="9.28515625" style="1124" customWidth="1"/>
    <col min="13053" max="13053" width="9" style="1124" customWidth="1"/>
    <col min="13054" max="13054" width="10.85546875" style="1124" customWidth="1"/>
    <col min="13055" max="13055" width="52.7109375" style="1124" customWidth="1"/>
    <col min="13056" max="13056" width="9.85546875" style="1124" customWidth="1"/>
    <col min="13057" max="13057" width="5.7109375" style="1124" customWidth="1"/>
    <col min="13058" max="13058" width="10.140625" style="1124" customWidth="1"/>
    <col min="13059" max="13060" width="10.7109375" style="1124" customWidth="1"/>
    <col min="13061" max="13061" width="10.5703125" style="1124" customWidth="1"/>
    <col min="13062" max="13306" width="9.140625" style="1124"/>
    <col min="13307" max="13307" width="4.7109375" style="1124" customWidth="1"/>
    <col min="13308" max="13308" width="9.28515625" style="1124" customWidth="1"/>
    <col min="13309" max="13309" width="9" style="1124" customWidth="1"/>
    <col min="13310" max="13310" width="10.85546875" style="1124" customWidth="1"/>
    <col min="13311" max="13311" width="52.7109375" style="1124" customWidth="1"/>
    <col min="13312" max="13312" width="9.85546875" style="1124" customWidth="1"/>
    <col min="13313" max="13313" width="5.7109375" style="1124" customWidth="1"/>
    <col min="13314" max="13314" width="10.140625" style="1124" customWidth="1"/>
    <col min="13315" max="13316" width="10.7109375" style="1124" customWidth="1"/>
    <col min="13317" max="13317" width="10.5703125" style="1124" customWidth="1"/>
    <col min="13318" max="13562" width="9.140625" style="1124"/>
    <col min="13563" max="13563" width="4.7109375" style="1124" customWidth="1"/>
    <col min="13564" max="13564" width="9.28515625" style="1124" customWidth="1"/>
    <col min="13565" max="13565" width="9" style="1124" customWidth="1"/>
    <col min="13566" max="13566" width="10.85546875" style="1124" customWidth="1"/>
    <col min="13567" max="13567" width="52.7109375" style="1124" customWidth="1"/>
    <col min="13568" max="13568" width="9.85546875" style="1124" customWidth="1"/>
    <col min="13569" max="13569" width="5.7109375" style="1124" customWidth="1"/>
    <col min="13570" max="13570" width="10.140625" style="1124" customWidth="1"/>
    <col min="13571" max="13572" width="10.7109375" style="1124" customWidth="1"/>
    <col min="13573" max="13573" width="10.5703125" style="1124" customWidth="1"/>
    <col min="13574" max="13818" width="9.140625" style="1124"/>
    <col min="13819" max="13819" width="4.7109375" style="1124" customWidth="1"/>
    <col min="13820" max="13820" width="9.28515625" style="1124" customWidth="1"/>
    <col min="13821" max="13821" width="9" style="1124" customWidth="1"/>
    <col min="13822" max="13822" width="10.85546875" style="1124" customWidth="1"/>
    <col min="13823" max="13823" width="52.7109375" style="1124" customWidth="1"/>
    <col min="13824" max="13824" width="9.85546875" style="1124" customWidth="1"/>
    <col min="13825" max="13825" width="5.7109375" style="1124" customWidth="1"/>
    <col min="13826" max="13826" width="10.140625" style="1124" customWidth="1"/>
    <col min="13827" max="13828" width="10.7109375" style="1124" customWidth="1"/>
    <col min="13829" max="13829" width="10.5703125" style="1124" customWidth="1"/>
    <col min="13830" max="14074" width="9.140625" style="1124"/>
    <col min="14075" max="14075" width="4.7109375" style="1124" customWidth="1"/>
    <col min="14076" max="14076" width="9.28515625" style="1124" customWidth="1"/>
    <col min="14077" max="14077" width="9" style="1124" customWidth="1"/>
    <col min="14078" max="14078" width="10.85546875" style="1124" customWidth="1"/>
    <col min="14079" max="14079" width="52.7109375" style="1124" customWidth="1"/>
    <col min="14080" max="14080" width="9.85546875" style="1124" customWidth="1"/>
    <col min="14081" max="14081" width="5.7109375" style="1124" customWidth="1"/>
    <col min="14082" max="14082" width="10.140625" style="1124" customWidth="1"/>
    <col min="14083" max="14084" width="10.7109375" style="1124" customWidth="1"/>
    <col min="14085" max="14085" width="10.5703125" style="1124" customWidth="1"/>
    <col min="14086" max="14330" width="9.140625" style="1124"/>
    <col min="14331" max="14331" width="4.7109375" style="1124" customWidth="1"/>
    <col min="14332" max="14332" width="9.28515625" style="1124" customWidth="1"/>
    <col min="14333" max="14333" width="9" style="1124" customWidth="1"/>
    <col min="14334" max="14334" width="10.85546875" style="1124" customWidth="1"/>
    <col min="14335" max="14335" width="52.7109375" style="1124" customWidth="1"/>
    <col min="14336" max="14336" width="9.85546875" style="1124" customWidth="1"/>
    <col min="14337" max="14337" width="5.7109375" style="1124" customWidth="1"/>
    <col min="14338" max="14338" width="10.140625" style="1124" customWidth="1"/>
    <col min="14339" max="14340" width="10.7109375" style="1124" customWidth="1"/>
    <col min="14341" max="14341" width="10.5703125" style="1124" customWidth="1"/>
    <col min="14342" max="14586" width="9.140625" style="1124"/>
    <col min="14587" max="14587" width="4.7109375" style="1124" customWidth="1"/>
    <col min="14588" max="14588" width="9.28515625" style="1124" customWidth="1"/>
    <col min="14589" max="14589" width="9" style="1124" customWidth="1"/>
    <col min="14590" max="14590" width="10.85546875" style="1124" customWidth="1"/>
    <col min="14591" max="14591" width="52.7109375" style="1124" customWidth="1"/>
    <col min="14592" max="14592" width="9.85546875" style="1124" customWidth="1"/>
    <col min="14593" max="14593" width="5.7109375" style="1124" customWidth="1"/>
    <col min="14594" max="14594" width="10.140625" style="1124" customWidth="1"/>
    <col min="14595" max="14596" width="10.7109375" style="1124" customWidth="1"/>
    <col min="14597" max="14597" width="10.5703125" style="1124" customWidth="1"/>
    <col min="14598" max="14842" width="9.140625" style="1124"/>
    <col min="14843" max="14843" width="4.7109375" style="1124" customWidth="1"/>
    <col min="14844" max="14844" width="9.28515625" style="1124" customWidth="1"/>
    <col min="14845" max="14845" width="9" style="1124" customWidth="1"/>
    <col min="14846" max="14846" width="10.85546875" style="1124" customWidth="1"/>
    <col min="14847" max="14847" width="52.7109375" style="1124" customWidth="1"/>
    <col min="14848" max="14848" width="9.85546875" style="1124" customWidth="1"/>
    <col min="14849" max="14849" width="5.7109375" style="1124" customWidth="1"/>
    <col min="14850" max="14850" width="10.140625" style="1124" customWidth="1"/>
    <col min="14851" max="14852" width="10.7109375" style="1124" customWidth="1"/>
    <col min="14853" max="14853" width="10.5703125" style="1124" customWidth="1"/>
    <col min="14854" max="15098" width="9.140625" style="1124"/>
    <col min="15099" max="15099" width="4.7109375" style="1124" customWidth="1"/>
    <col min="15100" max="15100" width="9.28515625" style="1124" customWidth="1"/>
    <col min="15101" max="15101" width="9" style="1124" customWidth="1"/>
    <col min="15102" max="15102" width="10.85546875" style="1124" customWidth="1"/>
    <col min="15103" max="15103" width="52.7109375" style="1124" customWidth="1"/>
    <col min="15104" max="15104" width="9.85546875" style="1124" customWidth="1"/>
    <col min="15105" max="15105" width="5.7109375" style="1124" customWidth="1"/>
    <col min="15106" max="15106" width="10.140625" style="1124" customWidth="1"/>
    <col min="15107" max="15108" width="10.7109375" style="1124" customWidth="1"/>
    <col min="15109" max="15109" width="10.5703125" style="1124" customWidth="1"/>
    <col min="15110" max="15354" width="9.140625" style="1124"/>
    <col min="15355" max="15355" width="4.7109375" style="1124" customWidth="1"/>
    <col min="15356" max="15356" width="9.28515625" style="1124" customWidth="1"/>
    <col min="15357" max="15357" width="9" style="1124" customWidth="1"/>
    <col min="15358" max="15358" width="10.85546875" style="1124" customWidth="1"/>
    <col min="15359" max="15359" width="52.7109375" style="1124" customWidth="1"/>
    <col min="15360" max="15360" width="9.85546875" style="1124" customWidth="1"/>
    <col min="15361" max="15361" width="5.7109375" style="1124" customWidth="1"/>
    <col min="15362" max="15362" width="10.140625" style="1124" customWidth="1"/>
    <col min="15363" max="15364" width="10.7109375" style="1124" customWidth="1"/>
    <col min="15365" max="15365" width="10.5703125" style="1124" customWidth="1"/>
    <col min="15366" max="15610" width="9.140625" style="1124"/>
    <col min="15611" max="15611" width="4.7109375" style="1124" customWidth="1"/>
    <col min="15612" max="15612" width="9.28515625" style="1124" customWidth="1"/>
    <col min="15613" max="15613" width="9" style="1124" customWidth="1"/>
    <col min="15614" max="15614" width="10.85546875" style="1124" customWidth="1"/>
    <col min="15615" max="15615" width="52.7109375" style="1124" customWidth="1"/>
    <col min="15616" max="15616" width="9.85546875" style="1124" customWidth="1"/>
    <col min="15617" max="15617" width="5.7109375" style="1124" customWidth="1"/>
    <col min="15618" max="15618" width="10.140625" style="1124" customWidth="1"/>
    <col min="15619" max="15620" width="10.7109375" style="1124" customWidth="1"/>
    <col min="15621" max="15621" width="10.5703125" style="1124" customWidth="1"/>
    <col min="15622" max="15866" width="9.140625" style="1124"/>
    <col min="15867" max="15867" width="4.7109375" style="1124" customWidth="1"/>
    <col min="15868" max="15868" width="9.28515625" style="1124" customWidth="1"/>
    <col min="15869" max="15869" width="9" style="1124" customWidth="1"/>
    <col min="15870" max="15870" width="10.85546875" style="1124" customWidth="1"/>
    <col min="15871" max="15871" width="52.7109375" style="1124" customWidth="1"/>
    <col min="15872" max="15872" width="9.85546875" style="1124" customWidth="1"/>
    <col min="15873" max="15873" width="5.7109375" style="1124" customWidth="1"/>
    <col min="15874" max="15874" width="10.140625" style="1124" customWidth="1"/>
    <col min="15875" max="15876" width="10.7109375" style="1124" customWidth="1"/>
    <col min="15877" max="15877" width="10.5703125" style="1124" customWidth="1"/>
    <col min="15878" max="16122" width="9.140625" style="1124"/>
    <col min="16123" max="16123" width="4.7109375" style="1124" customWidth="1"/>
    <col min="16124" max="16124" width="9.28515625" style="1124" customWidth="1"/>
    <col min="16125" max="16125" width="9" style="1124" customWidth="1"/>
    <col min="16126" max="16126" width="10.85546875" style="1124" customWidth="1"/>
    <col min="16127" max="16127" width="52.7109375" style="1124" customWidth="1"/>
    <col min="16128" max="16128" width="9.85546875" style="1124" customWidth="1"/>
    <col min="16129" max="16129" width="5.7109375" style="1124" customWidth="1"/>
    <col min="16130" max="16130" width="10.140625" style="1124" customWidth="1"/>
    <col min="16131" max="16132" width="10.7109375" style="1124" customWidth="1"/>
    <col min="16133" max="16133" width="10.5703125" style="1124" customWidth="1"/>
    <col min="16134" max="16384" width="9.140625" style="1124"/>
  </cols>
  <sheetData>
    <row r="1" spans="1:8">
      <c r="A1" s="1036" t="s">
        <v>1</v>
      </c>
      <c r="B1" s="1036"/>
      <c r="C1" s="1120"/>
      <c r="D1" s="409"/>
      <c r="E1" s="409" t="s">
        <v>2505</v>
      </c>
      <c r="G1" s="1122"/>
    </row>
    <row r="2" spans="1:8" ht="13.5" thickBot="1">
      <c r="A2" s="1125" t="s">
        <v>2</v>
      </c>
      <c r="B2" s="1036"/>
      <c r="C2" s="1120"/>
      <c r="D2" s="409"/>
      <c r="E2" s="1126">
        <v>2224</v>
      </c>
      <c r="G2" s="1127"/>
      <c r="H2" s="1128"/>
    </row>
    <row r="3" spans="1:8" ht="12.75" customHeight="1">
      <c r="A3" s="1363" t="s">
        <v>3</v>
      </c>
      <c r="B3" s="1364"/>
      <c r="C3" s="1364"/>
      <c r="D3" s="1129"/>
      <c r="E3" s="1355" t="s">
        <v>4</v>
      </c>
      <c r="F3" s="1356"/>
      <c r="G3" s="1365" t="s">
        <v>5</v>
      </c>
      <c r="H3" s="1367" t="s">
        <v>6</v>
      </c>
    </row>
    <row r="4" spans="1:8" ht="13.5" customHeight="1" thickBot="1">
      <c r="A4" s="1130" t="s">
        <v>7</v>
      </c>
      <c r="B4" s="1131" t="s">
        <v>8</v>
      </c>
      <c r="C4" s="1131" t="s">
        <v>9</v>
      </c>
      <c r="D4" s="1131" t="s">
        <v>10</v>
      </c>
      <c r="E4" s="1357"/>
      <c r="F4" s="1358"/>
      <c r="G4" s="1366"/>
      <c r="H4" s="1368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6.0600000000000023</v>
      </c>
    </row>
    <row r="9" spans="1:8" ht="14.25">
      <c r="A9" s="34"/>
      <c r="B9" s="464"/>
      <c r="C9" s="36"/>
      <c r="D9" s="37"/>
      <c r="E9" s="38"/>
      <c r="F9" s="46">
        <f>F39</f>
        <v>6.0600000000000023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 ht="25.5">
      <c r="A11" s="34">
        <f>MAX(A$1:A10)+1</f>
        <v>2</v>
      </c>
      <c r="B11" s="1132"/>
      <c r="C11" s="1133" t="s">
        <v>2506</v>
      </c>
      <c r="D11" s="957"/>
      <c r="E11" s="1134" t="s">
        <v>2507</v>
      </c>
      <c r="F11" s="1135"/>
      <c r="G11" s="1136" t="s">
        <v>33</v>
      </c>
      <c r="H11" s="544">
        <v>1</v>
      </c>
    </row>
    <row r="12" spans="1:8">
      <c r="A12" s="835"/>
      <c r="B12" s="1132"/>
      <c r="C12" s="1133"/>
      <c r="D12" s="957" t="s">
        <v>2508</v>
      </c>
      <c r="E12" s="1094" t="s">
        <v>2509</v>
      </c>
      <c r="F12" s="1040"/>
      <c r="G12" s="1137" t="s">
        <v>33</v>
      </c>
      <c r="H12" s="545">
        <v>1</v>
      </c>
    </row>
    <row r="13" spans="1:8">
      <c r="A13" s="835"/>
      <c r="B13" s="1132"/>
      <c r="C13" s="1133"/>
      <c r="D13" s="957"/>
      <c r="E13" s="1095" t="s">
        <v>2510</v>
      </c>
      <c r="F13" s="490">
        <v>1</v>
      </c>
      <c r="G13" s="1138"/>
      <c r="H13" s="1139"/>
    </row>
    <row r="14" spans="1:8" ht="14.25">
      <c r="A14" s="34"/>
      <c r="B14" s="464"/>
      <c r="C14" s="36"/>
      <c r="D14" s="37"/>
      <c r="E14" s="38"/>
      <c r="F14" s="46"/>
      <c r="G14" s="40"/>
      <c r="H14" s="506"/>
    </row>
    <row r="15" spans="1:8">
      <c r="A15" s="1140"/>
      <c r="B15" s="1058" t="s">
        <v>19</v>
      </c>
      <c r="C15" s="1059"/>
      <c r="D15" s="957"/>
      <c r="E15" s="1002" t="s">
        <v>20</v>
      </c>
      <c r="F15" s="1141"/>
      <c r="G15" s="1142"/>
      <c r="H15" s="506"/>
    </row>
    <row r="16" spans="1:8">
      <c r="A16" s="1140"/>
      <c r="B16" s="1143"/>
      <c r="C16" s="1142"/>
      <c r="D16" s="1142"/>
      <c r="E16" s="1144"/>
      <c r="F16" s="1141"/>
      <c r="G16" s="1142"/>
      <c r="H16" s="506"/>
    </row>
    <row r="17" spans="1:8" ht="25.5">
      <c r="A17" s="34">
        <f>MAX(A$1:A16)+1</f>
        <v>3</v>
      </c>
      <c r="B17" s="1143"/>
      <c r="C17" s="956" t="s">
        <v>113</v>
      </c>
      <c r="D17" s="599"/>
      <c r="E17" s="496" t="s">
        <v>114</v>
      </c>
      <c r="F17" s="482"/>
      <c r="G17" s="780" t="s">
        <v>33</v>
      </c>
      <c r="H17" s="533">
        <v>1</v>
      </c>
    </row>
    <row r="18" spans="1:8" ht="38.25">
      <c r="A18" s="353"/>
      <c r="B18" s="1143"/>
      <c r="C18" s="300"/>
      <c r="D18" s="957" t="s">
        <v>633</v>
      </c>
      <c r="E18" s="297" t="s">
        <v>634</v>
      </c>
      <c r="F18" s="301"/>
      <c r="G18" s="959" t="s">
        <v>33</v>
      </c>
      <c r="H18" s="534">
        <v>1</v>
      </c>
    </row>
    <row r="19" spans="1:8">
      <c r="A19" s="34"/>
      <c r="B19" s="1143"/>
      <c r="C19" s="956"/>
      <c r="D19" s="599"/>
      <c r="E19" s="103" t="s">
        <v>2511</v>
      </c>
      <c r="F19" s="1025">
        <v>1</v>
      </c>
      <c r="G19" s="780"/>
      <c r="H19" s="507"/>
    </row>
    <row r="20" spans="1:8">
      <c r="A20" s="34"/>
      <c r="B20" s="1143"/>
      <c r="C20" s="956"/>
      <c r="D20" s="599"/>
      <c r="E20" s="103"/>
      <c r="F20" s="1145"/>
      <c r="G20" s="780"/>
      <c r="H20" s="507"/>
    </row>
    <row r="21" spans="1:8">
      <c r="A21" s="1057"/>
      <c r="B21" s="1058" t="s">
        <v>72</v>
      </c>
      <c r="C21" s="1059"/>
      <c r="D21" s="1059"/>
      <c r="E21" s="1060" t="s">
        <v>73</v>
      </c>
      <c r="F21" s="1061"/>
      <c r="G21" s="1062"/>
      <c r="H21" s="531"/>
    </row>
    <row r="22" spans="1:8">
      <c r="A22" s="1063"/>
      <c r="B22" s="1064"/>
      <c r="C22" s="957"/>
      <c r="D22" s="300"/>
      <c r="E22" s="1065"/>
      <c r="F22" s="958"/>
      <c r="G22" s="959"/>
      <c r="H22" s="541"/>
    </row>
    <row r="23" spans="1:8">
      <c r="A23" s="34">
        <f>MAX(A$1:A21)+1</f>
        <v>4</v>
      </c>
      <c r="B23" s="1066"/>
      <c r="C23" s="956" t="s">
        <v>74</v>
      </c>
      <c r="D23" s="599"/>
      <c r="E23" s="496" t="s">
        <v>75</v>
      </c>
      <c r="F23" s="779"/>
      <c r="G23" s="780" t="s">
        <v>18</v>
      </c>
      <c r="H23" s="540">
        <v>5.3</v>
      </c>
    </row>
    <row r="24" spans="1:8">
      <c r="A24" s="1063"/>
      <c r="B24" s="1064"/>
      <c r="C24" s="957"/>
      <c r="D24" s="300" t="s">
        <v>76</v>
      </c>
      <c r="E24" s="297" t="s">
        <v>77</v>
      </c>
      <c r="F24" s="958"/>
      <c r="G24" s="959" t="s">
        <v>18</v>
      </c>
      <c r="H24" s="541">
        <v>5.3</v>
      </c>
    </row>
    <row r="25" spans="1:8">
      <c r="A25" s="1063"/>
      <c r="B25" s="1064"/>
      <c r="C25" s="957"/>
      <c r="D25" s="300"/>
      <c r="E25" s="783" t="s">
        <v>2512</v>
      </c>
      <c r="F25" s="229">
        <v>0.14000000000000001</v>
      </c>
      <c r="G25" s="959"/>
      <c r="H25" s="541"/>
    </row>
    <row r="26" spans="1:8">
      <c r="A26" s="1063"/>
      <c r="B26" s="1064"/>
      <c r="C26" s="957"/>
      <c r="D26" s="300"/>
      <c r="E26" s="783" t="s">
        <v>2513</v>
      </c>
      <c r="F26" s="229">
        <v>0.16</v>
      </c>
      <c r="G26" s="959"/>
      <c r="H26" s="541"/>
    </row>
    <row r="27" spans="1:8">
      <c r="A27" s="1063"/>
      <c r="B27" s="1064"/>
      <c r="C27" s="957"/>
      <c r="D27" s="300"/>
      <c r="E27" s="783" t="s">
        <v>2514</v>
      </c>
      <c r="F27" s="1146">
        <v>5</v>
      </c>
      <c r="G27" s="959"/>
      <c r="H27" s="541"/>
    </row>
    <row r="28" spans="1:8">
      <c r="A28" s="1063"/>
      <c r="B28" s="1064"/>
      <c r="C28" s="957"/>
      <c r="D28" s="300"/>
      <c r="E28" s="783"/>
      <c r="F28" s="229">
        <f>SUM(F25:F27)</f>
        <v>5.3</v>
      </c>
      <c r="G28" s="959"/>
      <c r="H28" s="541"/>
    </row>
    <row r="29" spans="1:8">
      <c r="A29" s="1063"/>
      <c r="B29" s="1064"/>
      <c r="C29" s="957"/>
      <c r="D29" s="300"/>
      <c r="E29" s="1065"/>
      <c r="F29" s="958"/>
      <c r="G29" s="959"/>
      <c r="H29" s="541"/>
    </row>
    <row r="30" spans="1:8">
      <c r="A30" s="34">
        <f>MAX(A$1:A23)+1</f>
        <v>5</v>
      </c>
      <c r="B30" s="1066"/>
      <c r="C30" s="956" t="s">
        <v>158</v>
      </c>
      <c r="D30" s="599"/>
      <c r="E30" s="496" t="s">
        <v>159</v>
      </c>
      <c r="F30" s="779"/>
      <c r="G30" s="780" t="s">
        <v>18</v>
      </c>
      <c r="H30" s="540">
        <v>17.630000000000003</v>
      </c>
    </row>
    <row r="31" spans="1:8">
      <c r="A31" s="963"/>
      <c r="B31" s="600"/>
      <c r="C31" s="957"/>
      <c r="D31" s="300" t="s">
        <v>160</v>
      </c>
      <c r="E31" s="297" t="s">
        <v>161</v>
      </c>
      <c r="F31" s="958"/>
      <c r="G31" s="959" t="s">
        <v>18</v>
      </c>
      <c r="H31" s="542">
        <v>17.630000000000003</v>
      </c>
    </row>
    <row r="32" spans="1:8">
      <c r="A32" s="963"/>
      <c r="B32" s="600"/>
      <c r="C32" s="957"/>
      <c r="D32" s="300"/>
      <c r="E32" s="783" t="s">
        <v>2515</v>
      </c>
      <c r="F32" s="229">
        <v>12.55</v>
      </c>
      <c r="G32" s="959"/>
      <c r="H32" s="542"/>
    </row>
    <row r="33" spans="1:8">
      <c r="A33" s="963"/>
      <c r="B33" s="600"/>
      <c r="C33" s="957"/>
      <c r="D33" s="300"/>
      <c r="E33" s="783" t="s">
        <v>2490</v>
      </c>
      <c r="F33" s="260">
        <v>5.08</v>
      </c>
      <c r="G33" s="959"/>
      <c r="H33" s="542"/>
    </row>
    <row r="34" spans="1:8">
      <c r="A34" s="963"/>
      <c r="B34" s="600"/>
      <c r="C34" s="957"/>
      <c r="D34" s="300"/>
      <c r="E34" s="783"/>
      <c r="F34" s="229">
        <f>SUM(F32:F33)</f>
        <v>17.630000000000003</v>
      </c>
      <c r="G34" s="959"/>
      <c r="H34" s="542"/>
    </row>
    <row r="35" spans="1:8" ht="51">
      <c r="A35" s="963"/>
      <c r="B35" s="600"/>
      <c r="C35" s="957"/>
      <c r="D35" s="300"/>
      <c r="E35" s="783" t="s">
        <v>2443</v>
      </c>
      <c r="F35" s="229"/>
      <c r="G35" s="959"/>
      <c r="H35" s="542"/>
    </row>
    <row r="36" spans="1:8">
      <c r="A36" s="963"/>
      <c r="B36" s="1067"/>
      <c r="C36" s="957"/>
      <c r="D36" s="300"/>
      <c r="E36" s="783"/>
      <c r="F36" s="229"/>
      <c r="G36" s="959"/>
      <c r="H36" s="542"/>
    </row>
    <row r="37" spans="1:8">
      <c r="A37" s="334">
        <f>MAX(A$1:A36)+1</f>
        <v>6</v>
      </c>
      <c r="B37" s="960"/>
      <c r="C37" s="956" t="s">
        <v>58</v>
      </c>
      <c r="D37" s="599"/>
      <c r="E37" s="496" t="s">
        <v>59</v>
      </c>
      <c r="F37" s="482"/>
      <c r="G37" s="146" t="s">
        <v>18</v>
      </c>
      <c r="H37" s="543">
        <v>6.0600000000000023</v>
      </c>
    </row>
    <row r="38" spans="1:8">
      <c r="A38" s="961"/>
      <c r="B38" s="962"/>
      <c r="C38" s="957"/>
      <c r="D38" s="300" t="s">
        <v>60</v>
      </c>
      <c r="E38" s="297" t="s">
        <v>61</v>
      </c>
      <c r="F38" s="301"/>
      <c r="G38" s="218" t="s">
        <v>18</v>
      </c>
      <c r="H38" s="542">
        <v>6.0600000000000023</v>
      </c>
    </row>
    <row r="39" spans="1:8">
      <c r="A39" s="963"/>
      <c r="B39" s="600"/>
      <c r="C39" s="957"/>
      <c r="D39" s="300"/>
      <c r="E39" s="330" t="s">
        <v>2389</v>
      </c>
      <c r="F39" s="212">
        <f>F60</f>
        <v>6.0600000000000023</v>
      </c>
      <c r="G39" s="959"/>
      <c r="H39" s="542"/>
    </row>
    <row r="40" spans="1:8">
      <c r="A40" s="1114"/>
      <c r="B40" s="1068"/>
      <c r="C40" s="1115"/>
      <c r="D40" s="1116"/>
      <c r="E40" s="1117"/>
      <c r="F40" s="775"/>
      <c r="G40" s="1118"/>
      <c r="H40" s="545"/>
    </row>
    <row r="41" spans="1:8">
      <c r="A41" s="34">
        <f>MAX(A$1:A40)+1</f>
        <v>7</v>
      </c>
      <c r="B41" s="1068"/>
      <c r="C41" s="846" t="s">
        <v>78</v>
      </c>
      <c r="D41" s="953"/>
      <c r="E41" s="1069" t="s">
        <v>79</v>
      </c>
      <c r="F41" s="775"/>
      <c r="G41" s="847" t="s">
        <v>18</v>
      </c>
      <c r="H41" s="544">
        <v>16.87</v>
      </c>
    </row>
    <row r="42" spans="1:8">
      <c r="A42" s="334"/>
      <c r="B42" s="836"/>
      <c r="C42" s="834"/>
      <c r="D42" s="773" t="s">
        <v>80</v>
      </c>
      <c r="E42" s="1070" t="s">
        <v>81</v>
      </c>
      <c r="F42" s="1071"/>
      <c r="G42" s="776" t="s">
        <v>18</v>
      </c>
      <c r="H42" s="545">
        <v>16.87</v>
      </c>
    </row>
    <row r="43" spans="1:8">
      <c r="A43" s="835"/>
      <c r="B43" s="836"/>
      <c r="C43" s="834"/>
      <c r="D43" s="773"/>
      <c r="E43" s="1072" t="s">
        <v>2516</v>
      </c>
      <c r="F43" s="990">
        <v>8.6300000000000008</v>
      </c>
      <c r="G43" s="776"/>
      <c r="H43" s="535"/>
    </row>
    <row r="44" spans="1:8">
      <c r="A44" s="835"/>
      <c r="B44" s="836"/>
      <c r="C44" s="834"/>
      <c r="D44" s="773"/>
      <c r="E44" s="1072" t="s">
        <v>2491</v>
      </c>
      <c r="F44" s="990">
        <v>3.24</v>
      </c>
      <c r="G44" s="776"/>
      <c r="H44" s="535"/>
    </row>
    <row r="45" spans="1:8">
      <c r="A45" s="835"/>
      <c r="B45" s="836"/>
      <c r="C45" s="834"/>
      <c r="D45" s="773"/>
      <c r="E45" s="467" t="s">
        <v>2517</v>
      </c>
      <c r="F45" s="1147"/>
      <c r="G45" s="776"/>
      <c r="H45" s="535"/>
    </row>
    <row r="46" spans="1:8">
      <c r="A46" s="835"/>
      <c r="B46" s="836"/>
      <c r="C46" s="834"/>
      <c r="D46" s="773"/>
      <c r="E46" s="783" t="s">
        <v>2514</v>
      </c>
      <c r="F46" s="1146">
        <v>5</v>
      </c>
      <c r="G46" s="776"/>
      <c r="H46" s="535"/>
    </row>
    <row r="47" spans="1:8">
      <c r="A47" s="835"/>
      <c r="B47" s="836"/>
      <c r="C47" s="834"/>
      <c r="D47" s="773"/>
      <c r="E47" s="1072"/>
      <c r="F47" s="990">
        <f>SUM(F43:F46)</f>
        <v>16.87</v>
      </c>
      <c r="G47" s="776"/>
      <c r="H47" s="535"/>
    </row>
    <row r="48" spans="1:8">
      <c r="A48" s="835"/>
      <c r="B48" s="836"/>
      <c r="C48" s="834"/>
      <c r="D48" s="773"/>
      <c r="E48" s="1074"/>
      <c r="F48" s="775"/>
      <c r="G48" s="776"/>
      <c r="H48" s="535"/>
    </row>
    <row r="49" spans="1:8" ht="51">
      <c r="A49" s="835"/>
      <c r="B49" s="836"/>
      <c r="C49" s="834"/>
      <c r="D49" s="773"/>
      <c r="E49" s="783" t="s">
        <v>2443</v>
      </c>
      <c r="F49" s="775"/>
      <c r="G49" s="776"/>
      <c r="H49" s="535"/>
    </row>
    <row r="50" spans="1:8">
      <c r="A50" s="835"/>
      <c r="B50" s="836"/>
      <c r="C50" s="834"/>
      <c r="D50" s="773"/>
      <c r="E50" s="774"/>
      <c r="F50" s="775"/>
      <c r="G50" s="776"/>
      <c r="H50" s="535"/>
    </row>
    <row r="51" spans="1:8">
      <c r="A51" s="334">
        <f>MAX(A$1:A50)+1</f>
        <v>8</v>
      </c>
      <c r="B51" s="429"/>
      <c r="C51" s="36" t="s">
        <v>472</v>
      </c>
      <c r="D51" s="37"/>
      <c r="E51" s="38" t="s">
        <v>473</v>
      </c>
      <c r="F51" s="39"/>
      <c r="G51" s="40" t="s">
        <v>18</v>
      </c>
      <c r="H51" s="544">
        <v>5.39</v>
      </c>
    </row>
    <row r="52" spans="1:8">
      <c r="A52" s="438"/>
      <c r="B52" s="429"/>
      <c r="C52" s="430"/>
      <c r="D52" s="67" t="s">
        <v>474</v>
      </c>
      <c r="E52" s="71" t="s">
        <v>475</v>
      </c>
      <c r="F52" s="61"/>
      <c r="G52" s="62" t="s">
        <v>18</v>
      </c>
      <c r="H52" s="545">
        <v>5.39</v>
      </c>
    </row>
    <row r="53" spans="1:8">
      <c r="A53" s="438"/>
      <c r="B53" s="429"/>
      <c r="C53" s="430"/>
      <c r="D53" s="431"/>
      <c r="E53" s="330" t="s">
        <v>2518</v>
      </c>
      <c r="F53" s="547">
        <v>5.39</v>
      </c>
      <c r="G53" s="512"/>
      <c r="H53" s="535"/>
    </row>
    <row r="54" spans="1:8">
      <c r="A54" s="835"/>
      <c r="B54" s="836"/>
      <c r="C54" s="834"/>
      <c r="D54" s="773"/>
      <c r="E54" s="1074"/>
      <c r="F54" s="775"/>
      <c r="G54" s="776"/>
      <c r="H54" s="544"/>
    </row>
    <row r="55" spans="1:8">
      <c r="A55" s="334">
        <f>MAX(A$1:A52)+1</f>
        <v>9</v>
      </c>
      <c r="B55" s="439"/>
      <c r="C55" s="36" t="s">
        <v>50</v>
      </c>
      <c r="D55" s="37"/>
      <c r="E55" s="38" t="s">
        <v>51</v>
      </c>
      <c r="F55" s="39"/>
      <c r="G55" s="40" t="s">
        <v>18</v>
      </c>
      <c r="H55" s="544">
        <v>6.0600000000000023</v>
      </c>
    </row>
    <row r="56" spans="1:8" ht="25.5">
      <c r="A56" s="293"/>
      <c r="B56" s="440"/>
      <c r="C56" s="66"/>
      <c r="D56" s="67" t="s">
        <v>138</v>
      </c>
      <c r="E56" s="71" t="s">
        <v>139</v>
      </c>
      <c r="F56" s="61"/>
      <c r="G56" s="62" t="s">
        <v>18</v>
      </c>
      <c r="H56" s="545">
        <v>6.0600000000000023</v>
      </c>
    </row>
    <row r="57" spans="1:8">
      <c r="A57" s="334"/>
      <c r="B57" s="440"/>
      <c r="C57" s="430"/>
      <c r="D57" s="431"/>
      <c r="E57" s="964" t="s">
        <v>2397</v>
      </c>
      <c r="F57" s="212"/>
      <c r="G57" s="512"/>
      <c r="H57" s="544"/>
    </row>
    <row r="58" spans="1:8">
      <c r="A58" s="334"/>
      <c r="B58" s="440"/>
      <c r="C58" s="430"/>
      <c r="D58" s="431"/>
      <c r="E58" s="549" t="s">
        <v>66</v>
      </c>
      <c r="F58" s="212">
        <f>H23+H30</f>
        <v>22.930000000000003</v>
      </c>
      <c r="G58" s="512"/>
      <c r="H58" s="544"/>
    </row>
    <row r="59" spans="1:8">
      <c r="A59" s="334"/>
      <c r="B59" s="440"/>
      <c r="C59" s="430"/>
      <c r="D59" s="431"/>
      <c r="E59" s="549" t="s">
        <v>82</v>
      </c>
      <c r="F59" s="213">
        <f>-H41</f>
        <v>-16.87</v>
      </c>
      <c r="G59" s="512"/>
      <c r="H59" s="544"/>
    </row>
    <row r="60" spans="1:8">
      <c r="A60" s="334"/>
      <c r="B60" s="440"/>
      <c r="C60" s="430"/>
      <c r="D60" s="431"/>
      <c r="E60" s="549"/>
      <c r="F60" s="212">
        <f>SUM(F58:F59)</f>
        <v>6.0600000000000023</v>
      </c>
      <c r="G60" s="512"/>
      <c r="H60" s="544"/>
    </row>
    <row r="61" spans="1:8">
      <c r="A61" s="835"/>
      <c r="B61" s="836"/>
      <c r="C61" s="834"/>
      <c r="D61" s="773"/>
      <c r="E61" s="774"/>
      <c r="F61" s="775"/>
      <c r="G61" s="776"/>
      <c r="H61" s="535"/>
    </row>
    <row r="62" spans="1:8">
      <c r="A62" s="34">
        <f>MAX(A$1:A61)+1</f>
        <v>10</v>
      </c>
      <c r="B62" s="836"/>
      <c r="C62" s="953" t="s">
        <v>484</v>
      </c>
      <c r="D62" s="846"/>
      <c r="E62" s="954" t="s">
        <v>485</v>
      </c>
      <c r="F62" s="775"/>
      <c r="G62" s="847" t="s">
        <v>36</v>
      </c>
      <c r="H62" s="544">
        <v>13</v>
      </c>
    </row>
    <row r="63" spans="1:8" ht="25.5" customHeight="1">
      <c r="A63" s="835"/>
      <c r="B63" s="836"/>
      <c r="C63" s="834"/>
      <c r="D63" s="773" t="s">
        <v>486</v>
      </c>
      <c r="E63" s="774" t="s">
        <v>487</v>
      </c>
      <c r="F63" s="775"/>
      <c r="G63" s="776" t="s">
        <v>36</v>
      </c>
      <c r="H63" s="545">
        <v>13</v>
      </c>
    </row>
    <row r="64" spans="1:8">
      <c r="A64" s="835"/>
      <c r="B64" s="836"/>
      <c r="C64" s="834"/>
      <c r="D64" s="773"/>
      <c r="E64" s="132" t="s">
        <v>2446</v>
      </c>
      <c r="F64" s="278">
        <v>13</v>
      </c>
      <c r="G64" s="776"/>
      <c r="H64" s="535"/>
    </row>
    <row r="65" spans="1:9">
      <c r="A65" s="835"/>
      <c r="B65" s="836"/>
      <c r="C65" s="834"/>
      <c r="D65" s="773"/>
      <c r="E65" s="1074"/>
      <c r="F65" s="775"/>
      <c r="G65" s="776"/>
      <c r="H65" s="535"/>
    </row>
    <row r="66" spans="1:9">
      <c r="A66" s="290"/>
      <c r="B66" s="1075" t="s">
        <v>416</v>
      </c>
      <c r="C66" s="1075"/>
      <c r="D66" s="1076"/>
      <c r="E66" s="1002" t="s">
        <v>417</v>
      </c>
      <c r="F66" s="1077"/>
      <c r="G66" s="333"/>
      <c r="H66" s="558"/>
    </row>
    <row r="67" spans="1:9">
      <c r="A67" s="290"/>
      <c r="B67" s="328"/>
      <c r="C67" s="331"/>
      <c r="D67" s="332"/>
      <c r="E67" s="1065"/>
      <c r="F67" s="1077"/>
      <c r="G67" s="333"/>
      <c r="H67" s="558"/>
    </row>
    <row r="68" spans="1:9" ht="25.5">
      <c r="A68" s="334">
        <f>MAX(A$1:A67)+1</f>
        <v>11</v>
      </c>
      <c r="B68" s="328"/>
      <c r="C68" s="36" t="s">
        <v>387</v>
      </c>
      <c r="D68" s="66"/>
      <c r="E68" s="38" t="s">
        <v>388</v>
      </c>
      <c r="F68" s="39"/>
      <c r="G68" s="40" t="s">
        <v>18</v>
      </c>
      <c r="H68" s="559">
        <v>0.37</v>
      </c>
    </row>
    <row r="69" spans="1:9" ht="25.5">
      <c r="A69" s="290"/>
      <c r="B69" s="328"/>
      <c r="C69" s="1078"/>
      <c r="D69" s="191" t="s">
        <v>432</v>
      </c>
      <c r="E69" s="193" t="s">
        <v>433</v>
      </c>
      <c r="F69" s="192"/>
      <c r="G69" s="32" t="s">
        <v>18</v>
      </c>
      <c r="H69" s="560">
        <v>0.37</v>
      </c>
    </row>
    <row r="70" spans="1:9">
      <c r="A70" s="290"/>
      <c r="B70" s="328"/>
      <c r="C70" s="1078"/>
      <c r="D70" s="599"/>
      <c r="E70" s="467" t="s">
        <v>2494</v>
      </c>
      <c r="F70" s="457">
        <v>0.37</v>
      </c>
      <c r="G70" s="146"/>
      <c r="H70" s="561"/>
    </row>
    <row r="71" spans="1:9" s="1094" customFormat="1">
      <c r="A71" s="961"/>
      <c r="B71" s="1064"/>
      <c r="C71" s="957"/>
      <c r="D71" s="300"/>
      <c r="E71" s="1148"/>
      <c r="F71" s="318"/>
      <c r="G71" s="218"/>
      <c r="H71" s="560"/>
    </row>
    <row r="72" spans="1:9" s="1094" customFormat="1">
      <c r="A72" s="1057"/>
      <c r="B72" s="1058" t="s">
        <v>225</v>
      </c>
      <c r="C72" s="1059"/>
      <c r="D72" s="1059"/>
      <c r="E72" s="1060" t="s">
        <v>226</v>
      </c>
      <c r="F72" s="1061"/>
      <c r="G72" s="1062"/>
      <c r="H72" s="562"/>
    </row>
    <row r="73" spans="1:9" s="1151" customFormat="1">
      <c r="A73" s="1149"/>
      <c r="B73" s="1075"/>
      <c r="C73" s="1075"/>
      <c r="D73" s="1076"/>
      <c r="E73" s="1002"/>
      <c r="F73" s="294"/>
      <c r="G73" s="1150"/>
      <c r="H73" s="563"/>
      <c r="I73" s="1094"/>
    </row>
    <row r="74" spans="1:9" s="1151" customFormat="1">
      <c r="A74" s="334">
        <f>MAX(A$1:A70)+1</f>
        <v>12</v>
      </c>
      <c r="B74" s="1152"/>
      <c r="C74" s="1088">
        <v>91190102</v>
      </c>
      <c r="D74" s="1089"/>
      <c r="E74" s="496" t="s">
        <v>702</v>
      </c>
      <c r="F74" s="1009"/>
      <c r="G74" s="780" t="s">
        <v>33</v>
      </c>
      <c r="H74" s="570">
        <v>2</v>
      </c>
      <c r="I74" s="1094"/>
    </row>
    <row r="75" spans="1:9" s="1151" customFormat="1">
      <c r="A75" s="1153"/>
      <c r="B75" s="1152"/>
      <c r="C75" s="1092"/>
      <c r="D75" s="1093">
        <v>9119010201</v>
      </c>
      <c r="E75" s="297" t="s">
        <v>703</v>
      </c>
      <c r="F75" s="1015"/>
      <c r="G75" s="959" t="s">
        <v>33</v>
      </c>
      <c r="H75" s="571">
        <v>2</v>
      </c>
      <c r="I75" s="1094"/>
    </row>
    <row r="76" spans="1:9" s="1151" customFormat="1">
      <c r="A76" s="1153"/>
      <c r="B76" s="1152"/>
      <c r="C76" s="1092"/>
      <c r="D76" s="1154"/>
      <c r="E76" s="1095" t="s">
        <v>704</v>
      </c>
      <c r="F76" s="1035">
        <v>1</v>
      </c>
      <c r="G76" s="959"/>
      <c r="H76" s="569"/>
      <c r="I76" s="1094"/>
    </row>
    <row r="77" spans="1:9" s="1151" customFormat="1">
      <c r="A77" s="1153"/>
      <c r="B77" s="1152"/>
      <c r="C77" s="1092"/>
      <c r="D77" s="1154"/>
      <c r="E77" s="1095" t="s">
        <v>2519</v>
      </c>
      <c r="F77" s="1155">
        <v>1</v>
      </c>
      <c r="G77" s="959"/>
      <c r="H77" s="569"/>
      <c r="I77" s="1094"/>
    </row>
    <row r="78" spans="1:9" s="1151" customFormat="1">
      <c r="A78" s="1153"/>
      <c r="B78" s="1152"/>
      <c r="C78" s="1092"/>
      <c r="D78" s="1154"/>
      <c r="E78" s="1156"/>
      <c r="F78" s="1035">
        <v>2</v>
      </c>
      <c r="G78" s="959"/>
      <c r="H78" s="569"/>
      <c r="I78" s="1094"/>
    </row>
    <row r="79" spans="1:9" s="1151" customFormat="1">
      <c r="A79" s="1149"/>
      <c r="B79" s="1075"/>
      <c r="C79" s="1075"/>
      <c r="D79" s="1076"/>
      <c r="E79" s="1002"/>
      <c r="F79" s="294"/>
      <c r="G79" s="1150"/>
      <c r="H79" s="563"/>
      <c r="I79" s="1094"/>
    </row>
    <row r="80" spans="1:9" s="1151" customFormat="1">
      <c r="A80" s="334">
        <f>MAX(A$1:A78)+1</f>
        <v>13</v>
      </c>
      <c r="B80" s="495"/>
      <c r="C80" s="1088">
        <v>91080101</v>
      </c>
      <c r="D80" s="1089"/>
      <c r="E80" s="496" t="s">
        <v>227</v>
      </c>
      <c r="F80" s="1086"/>
      <c r="G80" s="780" t="s">
        <v>36</v>
      </c>
      <c r="H80" s="540">
        <v>120</v>
      </c>
      <c r="I80" s="1094"/>
    </row>
    <row r="81" spans="1:9" s="1151" customFormat="1">
      <c r="A81" s="1153"/>
      <c r="B81" s="495"/>
      <c r="C81" s="1092"/>
      <c r="D81" s="1093">
        <v>9108010101</v>
      </c>
      <c r="E81" s="297" t="s">
        <v>730</v>
      </c>
      <c r="F81" s="1086"/>
      <c r="G81" s="959" t="s">
        <v>36</v>
      </c>
      <c r="H81" s="566">
        <v>120</v>
      </c>
      <c r="I81" s="1094"/>
    </row>
    <row r="82" spans="1:9" s="1151" customFormat="1">
      <c r="A82" s="1153"/>
      <c r="B82" s="495"/>
      <c r="C82" s="1092"/>
      <c r="D82" s="1093"/>
      <c r="E82" s="1095" t="s">
        <v>2520</v>
      </c>
      <c r="F82" s="1035">
        <v>120</v>
      </c>
      <c r="G82" s="959"/>
      <c r="H82" s="567"/>
      <c r="I82" s="1094"/>
    </row>
    <row r="83" spans="1:9" s="1151" customFormat="1">
      <c r="A83" s="1091"/>
      <c r="B83" s="495"/>
      <c r="C83" s="1092"/>
      <c r="D83" s="1093"/>
      <c r="E83" s="1094"/>
      <c r="F83" s="1030"/>
      <c r="G83" s="959"/>
      <c r="H83" s="567"/>
      <c r="I83" s="1094"/>
    </row>
    <row r="84" spans="1:9" s="1151" customFormat="1">
      <c r="A84" s="334">
        <f>MAX(A$1:A82)+1</f>
        <v>14</v>
      </c>
      <c r="B84" s="495"/>
      <c r="C84" s="1088">
        <v>91080118</v>
      </c>
      <c r="D84" s="1089"/>
      <c r="E84" s="1090" t="s">
        <v>558</v>
      </c>
      <c r="F84" s="1034"/>
      <c r="G84" s="780" t="s">
        <v>36</v>
      </c>
      <c r="H84" s="540">
        <v>13</v>
      </c>
      <c r="I84" s="1094"/>
    </row>
    <row r="85" spans="1:9" s="1151" customFormat="1">
      <c r="A85" s="1091"/>
      <c r="B85" s="495"/>
      <c r="C85" s="1092"/>
      <c r="D85" s="1093">
        <v>9108011801</v>
      </c>
      <c r="E85" s="1094" t="s">
        <v>559</v>
      </c>
      <c r="F85" s="1030"/>
      <c r="G85" s="959" t="s">
        <v>36</v>
      </c>
      <c r="H85" s="566">
        <v>13</v>
      </c>
      <c r="I85" s="1094"/>
    </row>
    <row r="86" spans="1:9" s="1151" customFormat="1">
      <c r="A86" s="1091"/>
      <c r="B86" s="495"/>
      <c r="C86" s="1092"/>
      <c r="D86" s="1093"/>
      <c r="E86" s="1095" t="s">
        <v>2477</v>
      </c>
      <c r="F86" s="565">
        <v>13</v>
      </c>
      <c r="G86" s="776"/>
      <c r="H86" s="567"/>
      <c r="I86" s="1094"/>
    </row>
    <row r="87" spans="1:9" s="1151" customFormat="1">
      <c r="A87" s="1091"/>
      <c r="B87" s="495"/>
      <c r="C87" s="1096"/>
      <c r="D87" s="1093"/>
      <c r="E87" s="1094"/>
      <c r="F87" s="1006"/>
      <c r="G87" s="776"/>
      <c r="H87" s="569"/>
      <c r="I87" s="1094"/>
    </row>
    <row r="88" spans="1:9" s="1151" customFormat="1" ht="25.5">
      <c r="A88" s="334">
        <f>MAX(A$1:A86)+1</f>
        <v>15</v>
      </c>
      <c r="B88" s="495"/>
      <c r="C88" s="195">
        <v>91100107</v>
      </c>
      <c r="D88" s="196"/>
      <c r="E88" s="38" t="s">
        <v>618</v>
      </c>
      <c r="F88" s="1097"/>
      <c r="G88" s="847" t="s">
        <v>33</v>
      </c>
      <c r="H88" s="540">
        <v>8</v>
      </c>
      <c r="I88" s="1094"/>
    </row>
    <row r="89" spans="1:9" s="1151" customFormat="1" ht="25.5" customHeight="1">
      <c r="A89" s="1091"/>
      <c r="B89" s="495"/>
      <c r="C89" s="1096"/>
      <c r="D89" s="1093">
        <v>9110010701</v>
      </c>
      <c r="E89" s="297" t="s">
        <v>2478</v>
      </c>
      <c r="F89" s="297"/>
      <c r="G89" s="776" t="s">
        <v>33</v>
      </c>
      <c r="H89" s="566">
        <v>8</v>
      </c>
      <c r="I89" s="1094"/>
    </row>
    <row r="90" spans="1:9" s="1151" customFormat="1">
      <c r="A90" s="1091"/>
      <c r="B90" s="495"/>
      <c r="C90" s="1096"/>
      <c r="D90" s="1093"/>
      <c r="E90" s="1119" t="s">
        <v>731</v>
      </c>
      <c r="F90" s="1099">
        <v>4</v>
      </c>
      <c r="G90" s="776"/>
      <c r="H90" s="569"/>
      <c r="I90" s="1094"/>
    </row>
    <row r="91" spans="1:9" s="1151" customFormat="1">
      <c r="A91" s="1091"/>
      <c r="B91" s="495"/>
      <c r="C91" s="1096"/>
      <c r="D91" s="1093"/>
      <c r="E91" s="1119" t="s">
        <v>2521</v>
      </c>
      <c r="F91" s="1099">
        <v>1</v>
      </c>
      <c r="G91" s="776"/>
      <c r="H91" s="569"/>
      <c r="I91" s="1094"/>
    </row>
    <row r="92" spans="1:9" s="1151" customFormat="1">
      <c r="A92" s="1091"/>
      <c r="B92" s="495"/>
      <c r="C92" s="1096"/>
      <c r="D92" s="1093"/>
      <c r="E92" s="1119" t="s">
        <v>732</v>
      </c>
      <c r="F92" s="1157">
        <v>3</v>
      </c>
      <c r="G92" s="776"/>
      <c r="H92" s="569"/>
      <c r="I92" s="1094"/>
    </row>
    <row r="93" spans="1:9" s="1151" customFormat="1">
      <c r="A93" s="1091"/>
      <c r="B93" s="495"/>
      <c r="C93" s="1096"/>
      <c r="D93" s="1093"/>
      <c r="E93" s="1098"/>
      <c r="F93" s="565">
        <f>SUM(F90:F92)</f>
        <v>8</v>
      </c>
      <c r="G93" s="776"/>
      <c r="H93" s="569"/>
      <c r="I93" s="1094"/>
    </row>
    <row r="94" spans="1:9" s="1094" customFormat="1" ht="12.75" customHeight="1">
      <c r="A94" s="290"/>
      <c r="B94" s="328"/>
      <c r="C94" s="331"/>
      <c r="D94" s="332"/>
      <c r="E94" s="783"/>
      <c r="F94" s="572"/>
      <c r="G94" s="523"/>
      <c r="H94" s="573"/>
    </row>
    <row r="95" spans="1:9" s="1094" customFormat="1" ht="24.75" customHeight="1" thickBot="1">
      <c r="A95" s="1158"/>
      <c r="B95" s="1159"/>
      <c r="C95" s="1160"/>
      <c r="D95" s="1161"/>
      <c r="E95" s="1162"/>
      <c r="F95" s="1163"/>
      <c r="G95" s="1164"/>
      <c r="H95" s="574"/>
    </row>
    <row r="96" spans="1:9" s="1094" customFormat="1" ht="24.75" customHeight="1">
      <c r="A96" s="216"/>
      <c r="B96" s="1165"/>
      <c r="C96" s="1096"/>
      <c r="D96" s="1166"/>
      <c r="E96" s="1156"/>
      <c r="F96" s="1035"/>
      <c r="G96" s="1167"/>
      <c r="H96" s="1168"/>
    </row>
  </sheetData>
  <sheetProtection algorithmName="SHA-512" hashValue="aH/7EPQa6Jy7p8wXfMRLBEytR4R2w0zkaHbZOVKBuBkYE9O2G7oBJvZ/k0j+/cGmMpDGmz8UgZKCGVs3jbNMWA==" saltValue="K2KKzP+cx31J7FPxRxe94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D45DB-C604-472F-A914-1574F1B90F35}">
  <sheetPr codeName="Hárok2"/>
  <dimension ref="A1:U192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1" max="21" width="1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13">
      <c r="A1" s="2" t="s">
        <v>1</v>
      </c>
      <c r="B1" s="2"/>
      <c r="C1" s="3"/>
      <c r="D1" s="4"/>
      <c r="E1" s="5" t="s">
        <v>848</v>
      </c>
      <c r="G1" s="7"/>
      <c r="H1" s="8"/>
    </row>
    <row r="2" spans="1:13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3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13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13">
      <c r="A5" s="16"/>
      <c r="B5" s="17"/>
      <c r="C5" s="17"/>
      <c r="D5" s="18"/>
      <c r="E5" s="19"/>
      <c r="F5" s="20"/>
      <c r="G5" s="21"/>
      <c r="H5" s="22"/>
    </row>
    <row r="6" spans="1:13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13">
      <c r="A7" s="268"/>
      <c r="B7" s="24"/>
      <c r="C7" s="25"/>
      <c r="D7" s="26"/>
      <c r="E7" s="27"/>
      <c r="F7" s="28"/>
      <c r="G7" s="29"/>
      <c r="H7" s="30"/>
    </row>
    <row r="8" spans="1:13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M8" s="120"/>
    </row>
    <row r="9" spans="1:13" ht="26.25">
      <c r="A9" s="268"/>
      <c r="B9" s="24"/>
      <c r="C9" s="25"/>
      <c r="D9" s="26"/>
      <c r="E9" s="76" t="s">
        <v>851</v>
      </c>
      <c r="F9" s="136">
        <v>4</v>
      </c>
      <c r="G9" s="29"/>
      <c r="H9" s="30"/>
      <c r="M9" s="120"/>
    </row>
    <row r="10" spans="1:13">
      <c r="A10" s="268"/>
      <c r="B10" s="24"/>
      <c r="C10" s="25"/>
      <c r="D10" s="26"/>
      <c r="E10" s="76"/>
      <c r="F10" s="136"/>
      <c r="G10" s="29"/>
      <c r="H10" s="30"/>
    </row>
    <row r="11" spans="1:13" ht="25.5">
      <c r="A11" s="34">
        <f>MAX(A$1:A10)+1</f>
        <v>2</v>
      </c>
      <c r="B11" s="24"/>
      <c r="C11" s="36" t="s">
        <v>13</v>
      </c>
      <c r="D11" s="37"/>
      <c r="E11" s="38" t="s">
        <v>14</v>
      </c>
      <c r="F11" s="39"/>
      <c r="G11" s="40" t="s">
        <v>15</v>
      </c>
      <c r="H11" s="128">
        <v>674.55</v>
      </c>
    </row>
    <row r="12" spans="1:13">
      <c r="A12" s="268"/>
      <c r="B12" s="24"/>
      <c r="C12" s="25"/>
      <c r="D12" s="26"/>
      <c r="E12" s="76"/>
      <c r="F12" s="136">
        <f>F38</f>
        <v>674.55</v>
      </c>
      <c r="G12" s="29"/>
      <c r="H12" s="30"/>
    </row>
    <row r="13" spans="1:13">
      <c r="A13" s="145"/>
      <c r="B13" s="31"/>
      <c r="C13" s="36"/>
      <c r="D13" s="37"/>
      <c r="E13" s="38"/>
      <c r="F13" s="46"/>
      <c r="G13" s="40"/>
      <c r="H13" s="30"/>
    </row>
    <row r="14" spans="1:13" ht="25.5">
      <c r="A14" s="34">
        <f>MAX(A$1:A13)+1</f>
        <v>3</v>
      </c>
      <c r="B14" s="35"/>
      <c r="C14" s="36" t="s">
        <v>16</v>
      </c>
      <c r="D14" s="37"/>
      <c r="E14" s="38" t="s">
        <v>17</v>
      </c>
      <c r="F14" s="39"/>
      <c r="G14" s="40" t="s">
        <v>18</v>
      </c>
      <c r="H14" s="128">
        <v>1915.32</v>
      </c>
    </row>
    <row r="15" spans="1:13">
      <c r="A15" s="34"/>
      <c r="B15" s="35"/>
      <c r="C15" s="36"/>
      <c r="D15" s="37"/>
      <c r="E15" s="65" t="s">
        <v>852</v>
      </c>
      <c r="F15" s="90">
        <f>F80</f>
        <v>210</v>
      </c>
      <c r="G15" s="40"/>
      <c r="H15" s="30"/>
    </row>
    <row r="16" spans="1:13">
      <c r="A16" s="145"/>
      <c r="B16" s="35"/>
      <c r="C16" s="36"/>
      <c r="D16" s="37"/>
      <c r="E16" s="65" t="s">
        <v>137</v>
      </c>
      <c r="F16" s="90">
        <f>F66</f>
        <v>82</v>
      </c>
      <c r="G16" s="40"/>
      <c r="H16" s="30"/>
    </row>
    <row r="17" spans="1:9">
      <c r="A17" s="145"/>
      <c r="B17" s="35"/>
      <c r="C17" s="36"/>
      <c r="D17" s="37"/>
      <c r="E17" s="65" t="s">
        <v>853</v>
      </c>
      <c r="F17" s="138">
        <f>F70+F74+F78</f>
        <v>1623.32</v>
      </c>
      <c r="G17" s="40"/>
      <c r="H17" s="30"/>
    </row>
    <row r="18" spans="1:9">
      <c r="A18" s="145"/>
      <c r="B18" s="35"/>
      <c r="C18" s="36"/>
      <c r="D18" s="37"/>
      <c r="E18" s="65"/>
      <c r="F18" s="90">
        <f>SUM(F15:F17)</f>
        <v>1915.32</v>
      </c>
      <c r="G18" s="40"/>
      <c r="H18" s="30"/>
    </row>
    <row r="19" spans="1:9">
      <c r="A19" s="145"/>
      <c r="B19" s="35"/>
      <c r="C19" s="36"/>
      <c r="D19" s="37"/>
      <c r="E19" s="65"/>
      <c r="F19" s="90"/>
      <c r="G19" s="40"/>
      <c r="H19" s="30"/>
    </row>
    <row r="20" spans="1:9" ht="15.75">
      <c r="A20" s="145"/>
      <c r="B20" s="24" t="s">
        <v>19</v>
      </c>
      <c r="C20" s="48"/>
      <c r="D20" s="49"/>
      <c r="E20" s="50" t="s">
        <v>20</v>
      </c>
      <c r="F20" s="90"/>
      <c r="G20" s="40"/>
      <c r="H20" s="30"/>
    </row>
    <row r="21" spans="1:9">
      <c r="A21" s="145"/>
      <c r="B21" s="35"/>
      <c r="C21" s="36"/>
      <c r="D21" s="37"/>
      <c r="E21" s="65"/>
      <c r="F21" s="90"/>
      <c r="G21" s="40"/>
      <c r="H21" s="30"/>
    </row>
    <row r="22" spans="1:9" ht="25.5">
      <c r="A22" s="34">
        <f>MAX(A$1:A21)+1</f>
        <v>4</v>
      </c>
      <c r="B22" s="35"/>
      <c r="C22" s="36" t="s">
        <v>26</v>
      </c>
      <c r="D22" s="37"/>
      <c r="E22" s="38" t="s">
        <v>27</v>
      </c>
      <c r="F22" s="39"/>
      <c r="G22" s="40" t="s">
        <v>21</v>
      </c>
      <c r="H22" s="128">
        <v>900</v>
      </c>
    </row>
    <row r="23" spans="1:9" ht="25.5">
      <c r="A23" s="145"/>
      <c r="B23" s="35"/>
      <c r="C23" s="66"/>
      <c r="D23" s="67" t="s">
        <v>123</v>
      </c>
      <c r="E23" s="71" t="s">
        <v>124</v>
      </c>
      <c r="F23" s="61"/>
      <c r="G23" s="62" t="s">
        <v>21</v>
      </c>
      <c r="H23" s="124">
        <v>900</v>
      </c>
    </row>
    <row r="24" spans="1:9">
      <c r="A24" s="145"/>
      <c r="B24" s="35"/>
      <c r="C24" s="36"/>
      <c r="D24" s="37"/>
      <c r="E24" s="65" t="s">
        <v>854</v>
      </c>
      <c r="F24" s="90">
        <v>900</v>
      </c>
      <c r="G24" s="40"/>
      <c r="H24" s="30"/>
    </row>
    <row r="25" spans="1:9">
      <c r="A25" s="145"/>
      <c r="B25" s="35"/>
      <c r="C25" s="36"/>
      <c r="D25" s="37"/>
      <c r="E25" s="65"/>
      <c r="F25" s="90"/>
      <c r="G25" s="40"/>
      <c r="H25" s="30"/>
    </row>
    <row r="26" spans="1:9" ht="38.25">
      <c r="A26" s="34">
        <f>MAX(A$1:A25)+1</f>
        <v>5</v>
      </c>
      <c r="B26" s="35"/>
      <c r="C26" s="36" t="s">
        <v>133</v>
      </c>
      <c r="D26" s="37"/>
      <c r="E26" s="38" t="s">
        <v>134</v>
      </c>
      <c r="F26" s="39"/>
      <c r="G26" s="40" t="s">
        <v>21</v>
      </c>
      <c r="H26" s="128">
        <v>1350</v>
      </c>
    </row>
    <row r="27" spans="1:9" ht="38.25">
      <c r="A27" s="145"/>
      <c r="B27" s="35"/>
      <c r="C27" s="36"/>
      <c r="D27" s="67" t="s">
        <v>230</v>
      </c>
      <c r="E27" s="71" t="s">
        <v>231</v>
      </c>
      <c r="F27" s="61"/>
      <c r="G27" s="62" t="s">
        <v>21</v>
      </c>
      <c r="H27" s="124">
        <v>1350</v>
      </c>
    </row>
    <row r="28" spans="1:9" ht="38.25">
      <c r="A28" s="145"/>
      <c r="B28" s="35"/>
      <c r="C28" s="36"/>
      <c r="D28" s="37"/>
      <c r="E28" s="65" t="s">
        <v>855</v>
      </c>
      <c r="F28" s="90">
        <v>950</v>
      </c>
      <c r="G28" s="40"/>
      <c r="H28" s="30"/>
    </row>
    <row r="29" spans="1:9" ht="25.5">
      <c r="A29" s="145"/>
      <c r="B29" s="35"/>
      <c r="C29" s="36"/>
      <c r="D29" s="37"/>
      <c r="E29" s="65" t="s">
        <v>856</v>
      </c>
      <c r="F29" s="138">
        <v>400</v>
      </c>
      <c r="G29" s="40"/>
      <c r="H29" s="30"/>
    </row>
    <row r="30" spans="1:9">
      <c r="A30" s="145"/>
      <c r="B30" s="35"/>
      <c r="C30" s="36"/>
      <c r="D30" s="37"/>
      <c r="E30" s="65"/>
      <c r="F30" s="90">
        <f>SUM(F28:F29)</f>
        <v>1350</v>
      </c>
      <c r="G30" s="40"/>
      <c r="H30" s="30"/>
    </row>
    <row r="31" spans="1:9">
      <c r="A31" s="145"/>
      <c r="B31" s="35"/>
      <c r="C31" s="36"/>
      <c r="D31" s="37"/>
      <c r="E31" s="65"/>
      <c r="F31" s="90"/>
      <c r="G31" s="40"/>
      <c r="H31" s="30"/>
    </row>
    <row r="32" spans="1:9">
      <c r="A32" s="34">
        <f>MAX(A$1:A31)+1</f>
        <v>6</v>
      </c>
      <c r="B32" s="35"/>
      <c r="C32" s="36" t="s">
        <v>37</v>
      </c>
      <c r="D32" s="37"/>
      <c r="E32" s="38" t="s">
        <v>38</v>
      </c>
      <c r="F32" s="39"/>
      <c r="G32" s="40" t="s">
        <v>15</v>
      </c>
      <c r="H32" s="128">
        <v>674.55</v>
      </c>
      <c r="I32" s="689"/>
    </row>
    <row r="33" spans="1:9">
      <c r="A33" s="145"/>
      <c r="B33" s="35"/>
      <c r="C33" s="36"/>
      <c r="D33" s="67" t="s">
        <v>39</v>
      </c>
      <c r="E33" s="71" t="s">
        <v>40</v>
      </c>
      <c r="F33" s="61"/>
      <c r="G33" s="62" t="s">
        <v>15</v>
      </c>
      <c r="H33" s="124">
        <v>674.55</v>
      </c>
    </row>
    <row r="34" spans="1:9">
      <c r="A34" s="145"/>
      <c r="B34" s="35"/>
      <c r="C34" s="36"/>
      <c r="D34" s="67"/>
      <c r="E34" s="84" t="s">
        <v>71</v>
      </c>
      <c r="F34" s="61"/>
      <c r="G34" s="62"/>
      <c r="H34" s="30"/>
    </row>
    <row r="35" spans="1:9">
      <c r="A35" s="145"/>
      <c r="B35" s="35"/>
      <c r="C35" s="36"/>
      <c r="D35" s="67"/>
      <c r="E35" s="65" t="s">
        <v>857</v>
      </c>
      <c r="F35" s="90">
        <f>F24*0.397</f>
        <v>357.3</v>
      </c>
      <c r="G35" s="62"/>
      <c r="H35" s="30"/>
    </row>
    <row r="36" spans="1:9" ht="38.25">
      <c r="A36" s="145"/>
      <c r="B36" s="35"/>
      <c r="C36" s="36"/>
      <c r="D36" s="67"/>
      <c r="E36" s="65" t="s">
        <v>858</v>
      </c>
      <c r="F36" s="90">
        <f>F28*0.235</f>
        <v>223.25</v>
      </c>
      <c r="G36" s="62"/>
      <c r="H36" s="30"/>
    </row>
    <row r="37" spans="1:9" ht="38.25">
      <c r="A37" s="145"/>
      <c r="B37" s="35"/>
      <c r="C37" s="36"/>
      <c r="D37" s="37"/>
      <c r="E37" s="65" t="s">
        <v>859</v>
      </c>
      <c r="F37" s="138">
        <f>F29*0.235</f>
        <v>94</v>
      </c>
      <c r="G37" s="40"/>
      <c r="H37" s="30"/>
    </row>
    <row r="38" spans="1:9">
      <c r="A38" s="145"/>
      <c r="B38" s="35"/>
      <c r="C38" s="36"/>
      <c r="D38" s="37"/>
      <c r="E38" s="65"/>
      <c r="F38" s="90">
        <f>SUM(F35:F37)</f>
        <v>674.55</v>
      </c>
      <c r="G38" s="40"/>
      <c r="H38" s="30"/>
    </row>
    <row r="39" spans="1:9">
      <c r="A39" s="145"/>
      <c r="B39" s="35"/>
      <c r="C39" s="36"/>
      <c r="D39" s="37"/>
      <c r="E39" s="65"/>
      <c r="F39" s="90"/>
      <c r="G39" s="40"/>
      <c r="H39" s="30"/>
    </row>
    <row r="40" spans="1:9">
      <c r="A40" s="145"/>
      <c r="B40" s="35" t="s">
        <v>44</v>
      </c>
      <c r="C40" s="93"/>
      <c r="D40" s="94"/>
      <c r="E40" s="96" t="s">
        <v>45</v>
      </c>
      <c r="F40" s="46"/>
      <c r="G40" s="40"/>
      <c r="H40" s="30"/>
    </row>
    <row r="41" spans="1:9">
      <c r="A41" s="145"/>
      <c r="B41" s="31"/>
      <c r="C41" s="36"/>
      <c r="D41" s="37"/>
      <c r="E41" s="38"/>
      <c r="F41" s="46"/>
      <c r="G41" s="40"/>
      <c r="H41" s="30"/>
    </row>
    <row r="42" spans="1:9">
      <c r="A42" s="34">
        <f>MAX(A$1:A41)+1</f>
        <v>7</v>
      </c>
      <c r="B42" s="31"/>
      <c r="C42" s="36" t="s">
        <v>284</v>
      </c>
      <c r="D42" s="37"/>
      <c r="E42" s="38" t="s">
        <v>285</v>
      </c>
      <c r="F42" s="39"/>
      <c r="G42" s="40" t="s">
        <v>21</v>
      </c>
      <c r="H42" s="128">
        <v>1400</v>
      </c>
      <c r="I42" s="266"/>
    </row>
    <row r="43" spans="1:9">
      <c r="A43" s="145"/>
      <c r="B43" s="31"/>
      <c r="C43" s="66"/>
      <c r="D43" s="67" t="s">
        <v>286</v>
      </c>
      <c r="E43" s="71" t="s">
        <v>287</v>
      </c>
      <c r="F43" s="61"/>
      <c r="G43" s="62" t="s">
        <v>21</v>
      </c>
      <c r="H43" s="124">
        <v>1400</v>
      </c>
    </row>
    <row r="44" spans="1:9">
      <c r="A44" s="145"/>
      <c r="B44" s="31"/>
      <c r="C44" s="66"/>
      <c r="D44" s="67"/>
      <c r="E44" s="65" t="s">
        <v>860</v>
      </c>
      <c r="F44" s="90">
        <v>1400</v>
      </c>
      <c r="G44" s="62"/>
      <c r="H44" s="30"/>
    </row>
    <row r="45" spans="1:9">
      <c r="A45" s="145"/>
      <c r="B45" s="31"/>
      <c r="C45" s="66"/>
      <c r="D45" s="67"/>
      <c r="E45" s="71"/>
      <c r="F45" s="61"/>
      <c r="G45" s="62"/>
      <c r="H45" s="30"/>
    </row>
    <row r="46" spans="1:9">
      <c r="A46" s="34">
        <f>MAX(A$1:A45)+1</f>
        <v>8</v>
      </c>
      <c r="B46" s="256"/>
      <c r="C46" s="36" t="s">
        <v>46</v>
      </c>
      <c r="D46" s="37"/>
      <c r="E46" s="38" t="s">
        <v>47</v>
      </c>
      <c r="F46" s="38"/>
      <c r="G46" s="40" t="s">
        <v>21</v>
      </c>
      <c r="H46" s="128">
        <v>164</v>
      </c>
    </row>
    <row r="47" spans="1:9">
      <c r="A47" s="34"/>
      <c r="B47" s="256"/>
      <c r="C47" s="66"/>
      <c r="D47" s="67" t="s">
        <v>48</v>
      </c>
      <c r="E47" s="71" t="s">
        <v>49</v>
      </c>
      <c r="F47" s="71"/>
      <c r="G47" s="62" t="s">
        <v>21</v>
      </c>
      <c r="H47" s="124">
        <v>164</v>
      </c>
    </row>
    <row r="48" spans="1:9">
      <c r="A48" s="60"/>
      <c r="B48" s="45"/>
      <c r="C48" s="82"/>
      <c r="D48" s="85"/>
      <c r="E48" s="677" t="s">
        <v>861</v>
      </c>
      <c r="F48" s="87">
        <v>164</v>
      </c>
      <c r="G48" s="88"/>
      <c r="H48" s="30"/>
    </row>
    <row r="49" spans="1:8">
      <c r="A49" s="145"/>
      <c r="B49" s="31"/>
      <c r="C49" s="66"/>
      <c r="D49" s="67"/>
      <c r="E49" s="71"/>
      <c r="F49" s="61"/>
      <c r="G49" s="62"/>
      <c r="H49" s="30"/>
    </row>
    <row r="50" spans="1:8">
      <c r="A50" s="34">
        <f>MAX(A$1:A49)+1</f>
        <v>9</v>
      </c>
      <c r="B50" s="256"/>
      <c r="C50" s="36" t="s">
        <v>672</v>
      </c>
      <c r="D50" s="37"/>
      <c r="E50" s="38" t="s">
        <v>673</v>
      </c>
      <c r="F50" s="38"/>
      <c r="G50" s="40" t="s">
        <v>33</v>
      </c>
      <c r="H50" s="128">
        <v>495</v>
      </c>
    </row>
    <row r="51" spans="1:8">
      <c r="A51" s="34"/>
      <c r="B51" s="256"/>
      <c r="C51" s="66"/>
      <c r="D51" s="67" t="s">
        <v>674</v>
      </c>
      <c r="E51" s="71" t="s">
        <v>675</v>
      </c>
      <c r="F51" s="71"/>
      <c r="G51" s="62" t="s">
        <v>33</v>
      </c>
      <c r="H51" s="124">
        <v>494</v>
      </c>
    </row>
    <row r="52" spans="1:8">
      <c r="A52" s="60"/>
      <c r="B52" s="45"/>
      <c r="C52" s="82"/>
      <c r="D52" s="85"/>
      <c r="E52" s="86" t="s">
        <v>862</v>
      </c>
      <c r="F52" s="87">
        <v>494</v>
      </c>
      <c r="G52" s="88"/>
      <c r="H52" s="124"/>
    </row>
    <row r="53" spans="1:8">
      <c r="A53" s="145"/>
      <c r="B53" s="31"/>
      <c r="C53" s="66"/>
      <c r="D53" s="67" t="s">
        <v>804</v>
      </c>
      <c r="E53" s="71" t="s">
        <v>805</v>
      </c>
      <c r="F53" s="71"/>
      <c r="G53" s="62" t="s">
        <v>33</v>
      </c>
      <c r="H53" s="124">
        <v>1</v>
      </c>
    </row>
    <row r="54" spans="1:8">
      <c r="A54" s="145"/>
      <c r="B54" s="31"/>
      <c r="C54" s="66"/>
      <c r="D54" s="67"/>
      <c r="E54" s="86" t="s">
        <v>863</v>
      </c>
      <c r="F54" s="46">
        <v>1</v>
      </c>
      <c r="G54" s="62"/>
      <c r="H54" s="30"/>
    </row>
    <row r="55" spans="1:8" ht="25.5">
      <c r="A55" s="145"/>
      <c r="B55" s="31"/>
      <c r="C55" s="66"/>
      <c r="D55" s="67"/>
      <c r="E55" s="86" t="s">
        <v>3171</v>
      </c>
      <c r="F55" s="46"/>
      <c r="G55" s="62"/>
      <c r="H55" s="30"/>
    </row>
    <row r="56" spans="1:8">
      <c r="A56" s="145"/>
      <c r="B56" s="31"/>
      <c r="C56" s="66"/>
      <c r="D56" s="67"/>
      <c r="E56" s="71"/>
      <c r="F56" s="61"/>
      <c r="G56" s="62"/>
      <c r="H56" s="30"/>
    </row>
    <row r="57" spans="1:8">
      <c r="A57" s="34">
        <f>MAX(A$1:A56)+1</f>
        <v>10</v>
      </c>
      <c r="B57" s="256"/>
      <c r="C57" s="36" t="s">
        <v>676</v>
      </c>
      <c r="D57" s="37"/>
      <c r="E57" s="38" t="s">
        <v>677</v>
      </c>
      <c r="F57" s="38"/>
      <c r="G57" s="40" t="s">
        <v>33</v>
      </c>
      <c r="H57" s="128">
        <v>495</v>
      </c>
    </row>
    <row r="58" spans="1:8">
      <c r="A58" s="34"/>
      <c r="B58" s="256"/>
      <c r="C58" s="66"/>
      <c r="D58" s="67" t="s">
        <v>678</v>
      </c>
      <c r="E58" s="71" t="s">
        <v>679</v>
      </c>
      <c r="F58" s="71"/>
      <c r="G58" s="62" t="s">
        <v>33</v>
      </c>
      <c r="H58" s="124">
        <v>494</v>
      </c>
    </row>
    <row r="59" spans="1:8">
      <c r="A59" s="145"/>
      <c r="B59" s="31"/>
      <c r="C59" s="66"/>
      <c r="D59" s="67"/>
      <c r="E59" s="86" t="s">
        <v>862</v>
      </c>
      <c r="F59" s="87">
        <v>494</v>
      </c>
      <c r="G59" s="62"/>
      <c r="H59" s="124"/>
    </row>
    <row r="60" spans="1:8">
      <c r="A60" s="145"/>
      <c r="B60" s="31"/>
      <c r="C60" s="66"/>
      <c r="D60" s="67" t="s">
        <v>806</v>
      </c>
      <c r="E60" s="71" t="s">
        <v>807</v>
      </c>
      <c r="F60" s="71"/>
      <c r="G60" s="62" t="s">
        <v>33</v>
      </c>
      <c r="H60" s="124">
        <v>1</v>
      </c>
    </row>
    <row r="61" spans="1:8">
      <c r="A61" s="145"/>
      <c r="B61" s="31"/>
      <c r="C61" s="66"/>
      <c r="D61" s="67"/>
      <c r="E61" s="86" t="s">
        <v>863</v>
      </c>
      <c r="F61" s="46">
        <v>1</v>
      </c>
      <c r="G61" s="62"/>
      <c r="H61" s="30"/>
    </row>
    <row r="62" spans="1:8">
      <c r="A62" s="145"/>
      <c r="B62" s="31"/>
      <c r="C62" s="66"/>
      <c r="D62" s="67"/>
      <c r="E62" s="86" t="s">
        <v>3172</v>
      </c>
      <c r="F62" s="46"/>
      <c r="G62" s="62"/>
      <c r="H62" s="30"/>
    </row>
    <row r="63" spans="1:8">
      <c r="A63" s="145"/>
      <c r="B63" s="31"/>
      <c r="C63" s="66"/>
      <c r="D63" s="67"/>
      <c r="E63" s="71"/>
      <c r="F63" s="61"/>
      <c r="G63" s="62"/>
      <c r="H63" s="30"/>
    </row>
    <row r="64" spans="1:8">
      <c r="A64" s="34">
        <f>MAX(A$1:A63)+1</f>
        <v>11</v>
      </c>
      <c r="B64" s="89"/>
      <c r="C64" s="36" t="s">
        <v>50</v>
      </c>
      <c r="D64" s="37"/>
      <c r="E64" s="38" t="s">
        <v>51</v>
      </c>
      <c r="F64" s="39"/>
      <c r="G64" s="40" t="s">
        <v>18</v>
      </c>
      <c r="H64" s="128">
        <v>1915.32</v>
      </c>
    </row>
    <row r="65" spans="1:8">
      <c r="A65" s="34"/>
      <c r="B65" s="89"/>
      <c r="C65" s="36"/>
      <c r="D65" s="67" t="s">
        <v>52</v>
      </c>
      <c r="E65" s="71" t="s">
        <v>53</v>
      </c>
      <c r="F65" s="61"/>
      <c r="G65" s="62" t="s">
        <v>18</v>
      </c>
      <c r="H65" s="124">
        <v>82</v>
      </c>
    </row>
    <row r="66" spans="1:8">
      <c r="A66" s="145"/>
      <c r="B66" s="31"/>
      <c r="C66" s="66"/>
      <c r="D66" s="67"/>
      <c r="E66" s="677" t="s">
        <v>864</v>
      </c>
      <c r="F66" s="46">
        <f>F48*0.5</f>
        <v>82</v>
      </c>
      <c r="G66" s="62"/>
      <c r="H66" s="30"/>
    </row>
    <row r="67" spans="1:8">
      <c r="A67" s="145"/>
      <c r="B67" s="31"/>
      <c r="C67" s="66"/>
      <c r="D67" s="67" t="s">
        <v>819</v>
      </c>
      <c r="E67" s="71" t="s">
        <v>820</v>
      </c>
      <c r="F67" s="61"/>
      <c r="G67" s="62" t="s">
        <v>18</v>
      </c>
      <c r="H67" s="124">
        <v>378.9</v>
      </c>
    </row>
    <row r="68" spans="1:8">
      <c r="A68" s="145"/>
      <c r="B68" s="31"/>
      <c r="C68" s="66"/>
      <c r="D68" s="67"/>
      <c r="E68" s="86" t="s">
        <v>865</v>
      </c>
      <c r="F68" s="68">
        <f>F59*0.76</f>
        <v>375.44</v>
      </c>
      <c r="G68" s="62"/>
      <c r="H68" s="30"/>
    </row>
    <row r="69" spans="1:8">
      <c r="A69" s="145"/>
      <c r="B69" s="31"/>
      <c r="C69" s="66"/>
      <c r="D69" s="67"/>
      <c r="E69" s="86" t="s">
        <v>866</v>
      </c>
      <c r="F69" s="225">
        <f>F61*3.46</f>
        <v>3.46</v>
      </c>
      <c r="G69" s="62"/>
      <c r="H69" s="30"/>
    </row>
    <row r="70" spans="1:8">
      <c r="A70" s="145"/>
      <c r="B70" s="31"/>
      <c r="C70" s="66"/>
      <c r="D70" s="67"/>
      <c r="E70" s="71"/>
      <c r="F70" s="46">
        <f>SUM(F68:F69)</f>
        <v>378.9</v>
      </c>
      <c r="G70" s="62"/>
      <c r="H70" s="30"/>
    </row>
    <row r="71" spans="1:8">
      <c r="A71" s="145"/>
      <c r="B71" s="31"/>
      <c r="C71" s="66"/>
      <c r="D71" s="67" t="s">
        <v>821</v>
      </c>
      <c r="E71" s="71" t="s">
        <v>822</v>
      </c>
      <c r="F71" s="61"/>
      <c r="G71" s="62" t="s">
        <v>18</v>
      </c>
      <c r="H71" s="124">
        <v>747.92</v>
      </c>
    </row>
    <row r="72" spans="1:8">
      <c r="A72" s="145"/>
      <c r="B72" s="31"/>
      <c r="C72" s="66"/>
      <c r="D72" s="67"/>
      <c r="E72" s="86" t="s">
        <v>867</v>
      </c>
      <c r="F72" s="46">
        <f>F59*1.5</f>
        <v>741</v>
      </c>
      <c r="G72" s="62"/>
      <c r="H72" s="30"/>
    </row>
    <row r="73" spans="1:8">
      <c r="A73" s="145"/>
      <c r="B73" s="31"/>
      <c r="C73" s="66"/>
      <c r="D73" s="67"/>
      <c r="E73" s="86" t="s">
        <v>868</v>
      </c>
      <c r="F73" s="225">
        <f>F61*6.92</f>
        <v>6.92</v>
      </c>
      <c r="G73" s="62"/>
      <c r="H73" s="30"/>
    </row>
    <row r="74" spans="1:8">
      <c r="A74" s="145"/>
      <c r="B74" s="31"/>
      <c r="C74" s="66"/>
      <c r="D74" s="67"/>
      <c r="E74" s="71"/>
      <c r="F74" s="68">
        <f>SUM(F72:F73)</f>
        <v>747.92</v>
      </c>
      <c r="G74" s="62"/>
      <c r="H74" s="30"/>
    </row>
    <row r="75" spans="1:8">
      <c r="A75" s="145"/>
      <c r="B75" s="31"/>
      <c r="C75" s="66"/>
      <c r="D75" s="67" t="s">
        <v>823</v>
      </c>
      <c r="E75" s="71" t="s">
        <v>824</v>
      </c>
      <c r="F75" s="61"/>
      <c r="G75" s="62" t="s">
        <v>18</v>
      </c>
      <c r="H75" s="124">
        <v>496.5</v>
      </c>
    </row>
    <row r="76" spans="1:8">
      <c r="A76" s="145"/>
      <c r="B76" s="31"/>
      <c r="C76" s="66"/>
      <c r="D76" s="67"/>
      <c r="E76" s="86" t="s">
        <v>869</v>
      </c>
      <c r="F76" s="46">
        <f>F59*1</f>
        <v>494</v>
      </c>
      <c r="G76" s="62"/>
      <c r="H76" s="30"/>
    </row>
    <row r="77" spans="1:8">
      <c r="A77" s="145"/>
      <c r="B77" s="31"/>
      <c r="C77" s="66"/>
      <c r="D77" s="67"/>
      <c r="E77" s="86" t="s">
        <v>870</v>
      </c>
      <c r="F77" s="69">
        <f>F54*2.5</f>
        <v>2.5</v>
      </c>
      <c r="G77" s="62"/>
      <c r="H77" s="30"/>
    </row>
    <row r="78" spans="1:8">
      <c r="A78" s="145"/>
      <c r="B78" s="31"/>
      <c r="C78" s="66"/>
      <c r="D78" s="67"/>
      <c r="E78" s="71"/>
      <c r="F78" s="46">
        <f>SUM(F76:F77)</f>
        <v>496.5</v>
      </c>
      <c r="G78" s="62"/>
      <c r="H78" s="30"/>
    </row>
    <row r="79" spans="1:8" ht="25.5">
      <c r="A79" s="145"/>
      <c r="B79" s="31"/>
      <c r="C79" s="66"/>
      <c r="D79" s="67" t="s">
        <v>288</v>
      </c>
      <c r="E79" s="71" t="s">
        <v>289</v>
      </c>
      <c r="F79" s="61"/>
      <c r="G79" s="62" t="s">
        <v>18</v>
      </c>
      <c r="H79" s="124">
        <v>210</v>
      </c>
    </row>
    <row r="80" spans="1:8" ht="25.5">
      <c r="A80" s="145"/>
      <c r="B80" s="31"/>
      <c r="C80" s="66"/>
      <c r="D80" s="67"/>
      <c r="E80" s="86" t="s">
        <v>871</v>
      </c>
      <c r="F80" s="46">
        <f>F44*0.15</f>
        <v>210</v>
      </c>
      <c r="G80" s="62"/>
      <c r="H80" s="30"/>
    </row>
    <row r="81" spans="1:11">
      <c r="A81" s="145"/>
      <c r="B81" s="31"/>
      <c r="C81" s="66"/>
      <c r="D81" s="67"/>
      <c r="E81" s="71"/>
      <c r="F81" s="61"/>
      <c r="G81" s="62"/>
      <c r="H81" s="30"/>
    </row>
    <row r="82" spans="1:11">
      <c r="A82" s="145"/>
      <c r="B82" s="35" t="s">
        <v>87</v>
      </c>
      <c r="C82" s="93"/>
      <c r="D82" s="94"/>
      <c r="E82" s="50" t="s">
        <v>88</v>
      </c>
      <c r="F82" s="81"/>
      <c r="G82" s="62"/>
      <c r="H82" s="30"/>
    </row>
    <row r="83" spans="1:11">
      <c r="A83" s="34"/>
      <c r="B83" s="256"/>
      <c r="C83" s="79"/>
      <c r="D83" s="67"/>
      <c r="E83" s="91"/>
      <c r="F83" s="81"/>
      <c r="G83" s="62"/>
      <c r="H83" s="30"/>
    </row>
    <row r="84" spans="1:11">
      <c r="A84" s="34">
        <f>MAX(A$1:A83)+1</f>
        <v>12</v>
      </c>
      <c r="B84" s="256"/>
      <c r="C84" s="36" t="s">
        <v>497</v>
      </c>
      <c r="D84" s="37"/>
      <c r="E84" s="38" t="s">
        <v>498</v>
      </c>
      <c r="F84" s="39"/>
      <c r="G84" s="40" t="s">
        <v>18</v>
      </c>
      <c r="H84" s="128">
        <v>354.86</v>
      </c>
      <c r="I84" s="689"/>
    </row>
    <row r="85" spans="1:11" ht="25.5">
      <c r="A85" s="34"/>
      <c r="B85" s="256"/>
      <c r="C85" s="66"/>
      <c r="D85" s="67" t="s">
        <v>499</v>
      </c>
      <c r="E85" s="71" t="s">
        <v>500</v>
      </c>
      <c r="F85" s="61"/>
      <c r="G85" s="62" t="s">
        <v>18</v>
      </c>
      <c r="H85" s="124">
        <v>354.86</v>
      </c>
    </row>
    <row r="86" spans="1:11">
      <c r="A86" s="34"/>
      <c r="B86" s="256"/>
      <c r="C86" s="66"/>
      <c r="D86" s="67"/>
      <c r="E86" s="65" t="s">
        <v>872</v>
      </c>
      <c r="F86" s="46">
        <f>F144</f>
        <v>210</v>
      </c>
      <c r="G86" s="62"/>
      <c r="H86" s="30"/>
    </row>
    <row r="87" spans="1:11">
      <c r="A87" s="34"/>
      <c r="B87" s="256"/>
      <c r="C87" s="66"/>
      <c r="D87" s="67"/>
      <c r="E87" s="65" t="s">
        <v>873</v>
      </c>
      <c r="F87" s="69">
        <v>112</v>
      </c>
      <c r="G87" s="62"/>
      <c r="H87" s="30"/>
    </row>
    <row r="88" spans="1:11" ht="18.75">
      <c r="A88" s="34"/>
      <c r="B88" s="256"/>
      <c r="C88" s="66"/>
      <c r="D88" s="67"/>
      <c r="E88" s="65"/>
      <c r="F88" s="46">
        <f>SUM(F86:F87)</f>
        <v>322</v>
      </c>
      <c r="G88" s="62"/>
      <c r="H88" s="30"/>
      <c r="K88" s="690"/>
    </row>
    <row r="89" spans="1:11" ht="18.75">
      <c r="A89" s="34"/>
      <c r="B89" s="256"/>
      <c r="C89" s="66"/>
      <c r="D89" s="67"/>
      <c r="E89" s="65"/>
      <c r="F89" s="46"/>
      <c r="G89" s="62"/>
      <c r="H89" s="30"/>
      <c r="K89" s="690"/>
    </row>
    <row r="90" spans="1:11" ht="18.75">
      <c r="A90" s="34"/>
      <c r="B90" s="256"/>
      <c r="C90" s="66"/>
      <c r="D90" s="67"/>
      <c r="E90" s="65" t="s">
        <v>3175</v>
      </c>
      <c r="F90" s="46">
        <f>1073.33-1040.47</f>
        <v>32.8599999999999</v>
      </c>
      <c r="G90" s="62"/>
      <c r="H90" s="30"/>
      <c r="K90" s="690"/>
    </row>
    <row r="91" spans="1:11" ht="18.75">
      <c r="A91" s="34"/>
      <c r="B91" s="256"/>
      <c r="C91" s="66"/>
      <c r="D91" s="67"/>
      <c r="E91" s="91" t="s">
        <v>41</v>
      </c>
      <c r="F91" s="123">
        <f>F88+F90</f>
        <v>354.8599999999999</v>
      </c>
      <c r="G91" s="62"/>
      <c r="H91" s="30"/>
      <c r="K91" s="690"/>
    </row>
    <row r="92" spans="1:11">
      <c r="A92" s="34"/>
      <c r="B92" s="256"/>
      <c r="C92" s="66"/>
      <c r="D92" s="67"/>
      <c r="E92" s="71"/>
      <c r="F92" s="61"/>
      <c r="G92" s="62"/>
      <c r="H92" s="30"/>
    </row>
    <row r="93" spans="1:11">
      <c r="A93" s="34">
        <f>MAX(A$1:A92)+1</f>
        <v>13</v>
      </c>
      <c r="B93" s="31"/>
      <c r="C93" s="36" t="s">
        <v>83</v>
      </c>
      <c r="D93" s="37"/>
      <c r="E93" s="38" t="s">
        <v>84</v>
      </c>
      <c r="F93" s="39"/>
      <c r="G93" s="40" t="s">
        <v>18</v>
      </c>
      <c r="H93" s="128">
        <v>354.86</v>
      </c>
    </row>
    <row r="94" spans="1:11" ht="25.5">
      <c r="A94" s="268"/>
      <c r="B94" s="31"/>
      <c r="C94" s="66"/>
      <c r="D94" s="67" t="s">
        <v>85</v>
      </c>
      <c r="E94" s="71" t="s">
        <v>86</v>
      </c>
      <c r="F94" s="61"/>
      <c r="G94" s="62" t="s">
        <v>18</v>
      </c>
      <c r="H94" s="124">
        <v>354.86</v>
      </c>
    </row>
    <row r="95" spans="1:11">
      <c r="A95" s="268"/>
      <c r="B95" s="31"/>
      <c r="C95" s="66"/>
      <c r="D95" s="67"/>
      <c r="E95" s="65" t="s">
        <v>623</v>
      </c>
      <c r="F95" s="46">
        <f>F91</f>
        <v>354.8599999999999</v>
      </c>
      <c r="G95" s="62"/>
      <c r="H95" s="30"/>
    </row>
    <row r="96" spans="1:11">
      <c r="A96" s="268"/>
      <c r="B96" s="31"/>
      <c r="C96" s="66"/>
      <c r="D96" s="67"/>
      <c r="E96" s="65"/>
      <c r="F96" s="68"/>
      <c r="G96" s="62"/>
      <c r="H96" s="30"/>
    </row>
    <row r="97" spans="1:17" ht="25.5">
      <c r="A97" s="34">
        <f>MAX(A$1:A96)+1</f>
        <v>14</v>
      </c>
      <c r="B97" s="31"/>
      <c r="C97" s="36" t="s">
        <v>90</v>
      </c>
      <c r="D97" s="37"/>
      <c r="E97" s="38" t="s">
        <v>91</v>
      </c>
      <c r="F97" s="39"/>
      <c r="G97" s="40" t="s">
        <v>21</v>
      </c>
      <c r="H97" s="128">
        <v>1400</v>
      </c>
    </row>
    <row r="98" spans="1:17" ht="25.5">
      <c r="A98" s="268"/>
      <c r="B98" s="31"/>
      <c r="C98" s="66"/>
      <c r="D98" s="67" t="s">
        <v>92</v>
      </c>
      <c r="E98" s="71" t="s">
        <v>93</v>
      </c>
      <c r="F98" s="61"/>
      <c r="G98" s="62" t="s">
        <v>21</v>
      </c>
      <c r="H98" s="124">
        <v>1400</v>
      </c>
    </row>
    <row r="99" spans="1:17">
      <c r="A99" s="268"/>
      <c r="B99" s="31"/>
      <c r="C99" s="66"/>
      <c r="D99" s="67"/>
      <c r="E99" s="65" t="s">
        <v>3176</v>
      </c>
      <c r="F99" s="90">
        <f>F88/0.23</f>
        <v>1400</v>
      </c>
      <c r="G99" s="62"/>
      <c r="H99" s="30"/>
    </row>
    <row r="100" spans="1:17">
      <c r="A100" s="268"/>
      <c r="B100" s="31"/>
      <c r="C100" s="66"/>
      <c r="D100" s="67"/>
      <c r="E100" s="65"/>
      <c r="F100" s="90"/>
      <c r="G100" s="62"/>
      <c r="H100" s="30"/>
    </row>
    <row r="101" spans="1:17" ht="25.5">
      <c r="A101" s="34">
        <f>MAX(A$1:A100)+1</f>
        <v>15</v>
      </c>
      <c r="B101" s="31"/>
      <c r="C101" s="36" t="s">
        <v>94</v>
      </c>
      <c r="D101" s="37"/>
      <c r="E101" s="38" t="s">
        <v>95</v>
      </c>
      <c r="F101" s="39"/>
      <c r="G101" s="40" t="s">
        <v>21</v>
      </c>
      <c r="H101" s="128">
        <v>1400</v>
      </c>
    </row>
    <row r="102" spans="1:17" ht="25.5">
      <c r="A102" s="268"/>
      <c r="B102" s="31"/>
      <c r="C102" s="66"/>
      <c r="D102" s="67" t="s">
        <v>96</v>
      </c>
      <c r="E102" s="71" t="s">
        <v>97</v>
      </c>
      <c r="F102" s="61"/>
      <c r="G102" s="62" t="s">
        <v>21</v>
      </c>
      <c r="H102" s="124">
        <v>1400</v>
      </c>
    </row>
    <row r="103" spans="1:17">
      <c r="A103" s="268"/>
      <c r="B103" s="31"/>
      <c r="C103" s="66"/>
      <c r="D103" s="67"/>
      <c r="E103" s="65" t="s">
        <v>874</v>
      </c>
      <c r="F103" s="90">
        <f>F99</f>
        <v>1400</v>
      </c>
      <c r="G103" s="62"/>
      <c r="H103" s="30"/>
    </row>
    <row r="104" spans="1:17">
      <c r="A104" s="268"/>
      <c r="B104" s="31"/>
      <c r="C104" s="66"/>
      <c r="D104" s="67"/>
      <c r="E104" s="65"/>
      <c r="F104" s="90"/>
      <c r="G104" s="62"/>
      <c r="H104" s="30"/>
    </row>
    <row r="105" spans="1:17" ht="25.5">
      <c r="A105" s="34">
        <f>MAX(A$1:A104)+1</f>
        <v>16</v>
      </c>
      <c r="B105" s="31"/>
      <c r="C105" s="36" t="s">
        <v>98</v>
      </c>
      <c r="D105" s="37"/>
      <c r="E105" s="38" t="s">
        <v>99</v>
      </c>
      <c r="F105" s="277"/>
      <c r="G105" s="40" t="s">
        <v>21</v>
      </c>
      <c r="H105" s="128">
        <v>1400</v>
      </c>
    </row>
    <row r="106" spans="1:17" ht="25.5">
      <c r="A106" s="268"/>
      <c r="B106" s="31"/>
      <c r="C106" s="66"/>
      <c r="D106" s="67" t="s">
        <v>100</v>
      </c>
      <c r="E106" s="71" t="s">
        <v>101</v>
      </c>
      <c r="F106" s="275"/>
      <c r="G106" s="62" t="s">
        <v>21</v>
      </c>
      <c r="H106" s="124">
        <v>1400</v>
      </c>
    </row>
    <row r="107" spans="1:17">
      <c r="A107" s="268"/>
      <c r="B107" s="31"/>
      <c r="C107" s="66"/>
      <c r="D107" s="67"/>
      <c r="E107" s="65" t="s">
        <v>102</v>
      </c>
      <c r="F107" s="90">
        <f>F103</f>
        <v>1400</v>
      </c>
      <c r="G107" s="62"/>
      <c r="H107" s="30"/>
    </row>
    <row r="108" spans="1:17">
      <c r="A108" s="268"/>
      <c r="B108" s="31"/>
      <c r="C108" s="66"/>
      <c r="D108" s="67"/>
      <c r="E108" s="65"/>
      <c r="F108" s="68"/>
      <c r="G108" s="62"/>
      <c r="H108" s="30"/>
    </row>
    <row r="109" spans="1:17" s="98" customFormat="1">
      <c r="A109" s="95"/>
      <c r="B109" s="35" t="s">
        <v>54</v>
      </c>
      <c r="C109" s="93"/>
      <c r="D109" s="94"/>
      <c r="E109" s="50" t="s">
        <v>55</v>
      </c>
      <c r="F109" s="100"/>
      <c r="G109" s="101"/>
      <c r="H109" s="42"/>
      <c r="I109"/>
      <c r="J109"/>
      <c r="K109"/>
      <c r="L109"/>
      <c r="Q109"/>
    </row>
    <row r="110" spans="1:17" s="98" customFormat="1">
      <c r="A110" s="95"/>
      <c r="B110" s="35"/>
      <c r="C110" s="93"/>
      <c r="D110" s="94"/>
      <c r="E110" s="50"/>
      <c r="F110" s="100"/>
      <c r="G110" s="101"/>
      <c r="H110" s="42"/>
      <c r="I110"/>
      <c r="J110"/>
      <c r="K110"/>
      <c r="L110"/>
      <c r="Q110"/>
    </row>
    <row r="111" spans="1:17" s="98" customFormat="1">
      <c r="A111" s="34">
        <f>MAX(A$1:A110)+1</f>
        <v>17</v>
      </c>
      <c r="B111" s="35"/>
      <c r="C111" s="36" t="s">
        <v>150</v>
      </c>
      <c r="D111" s="66"/>
      <c r="E111" s="38" t="s">
        <v>151</v>
      </c>
      <c r="F111" s="39"/>
      <c r="G111" s="40" t="s">
        <v>18</v>
      </c>
      <c r="H111" s="52">
        <v>210</v>
      </c>
      <c r="I111"/>
      <c r="J111"/>
      <c r="K111"/>
      <c r="L111"/>
      <c r="Q111"/>
    </row>
    <row r="112" spans="1:17" s="98" customFormat="1" ht="25.5">
      <c r="A112" s="95"/>
      <c r="B112" s="35"/>
      <c r="C112" s="37"/>
      <c r="D112" s="67" t="s">
        <v>152</v>
      </c>
      <c r="E112" s="71" t="s">
        <v>153</v>
      </c>
      <c r="F112" s="61"/>
      <c r="G112" s="62" t="s">
        <v>18</v>
      </c>
      <c r="H112" s="99">
        <v>210</v>
      </c>
      <c r="I112"/>
      <c r="J112"/>
      <c r="K112"/>
      <c r="L112"/>
      <c r="Q112"/>
    </row>
    <row r="113" spans="1:17" s="98" customFormat="1">
      <c r="A113" s="95"/>
      <c r="B113" s="35"/>
      <c r="C113" s="93"/>
      <c r="D113" s="94"/>
      <c r="E113" s="65" t="s">
        <v>875</v>
      </c>
      <c r="F113" s="212">
        <v>210</v>
      </c>
      <c r="G113" s="101"/>
      <c r="H113" s="42"/>
      <c r="I113"/>
      <c r="J113"/>
      <c r="K113"/>
      <c r="L113"/>
      <c r="Q113"/>
    </row>
    <row r="114" spans="1:17" s="98" customFormat="1">
      <c r="A114" s="95"/>
      <c r="B114" s="35"/>
      <c r="C114" s="93"/>
      <c r="D114" s="94"/>
      <c r="E114" s="50"/>
      <c r="F114" s="100"/>
      <c r="G114" s="101"/>
      <c r="H114" s="42"/>
      <c r="I114"/>
      <c r="J114"/>
      <c r="K114"/>
      <c r="L114"/>
      <c r="Q114"/>
    </row>
    <row r="115" spans="1:17">
      <c r="A115" s="34">
        <f>MAX(A$1:A114)+1</f>
        <v>18</v>
      </c>
      <c r="B115" s="43"/>
      <c r="C115" s="36" t="s">
        <v>237</v>
      </c>
      <c r="D115" s="66"/>
      <c r="E115" s="38" t="s">
        <v>238</v>
      </c>
      <c r="F115" s="39"/>
      <c r="G115" s="40" t="s">
        <v>18</v>
      </c>
      <c r="H115" s="64">
        <v>60</v>
      </c>
      <c r="I115" s="689"/>
    </row>
    <row r="116" spans="1:17" ht="25.5">
      <c r="A116" s="72"/>
      <c r="B116" s="73"/>
      <c r="C116" s="66"/>
      <c r="D116" s="66" t="s">
        <v>239</v>
      </c>
      <c r="E116" s="71" t="s">
        <v>240</v>
      </c>
      <c r="F116" s="61"/>
      <c r="G116" s="62" t="s">
        <v>18</v>
      </c>
      <c r="H116" s="83">
        <v>60</v>
      </c>
    </row>
    <row r="117" spans="1:17" s="111" customFormat="1">
      <c r="A117" s="179"/>
      <c r="B117" s="256"/>
      <c r="C117" s="79"/>
      <c r="D117" s="67"/>
      <c r="E117" s="77" t="s">
        <v>66</v>
      </c>
      <c r="F117" s="231">
        <v>60</v>
      </c>
      <c r="G117" s="62"/>
      <c r="H117" s="246"/>
      <c r="I117"/>
      <c r="J117"/>
      <c r="Q117"/>
    </row>
    <row r="118" spans="1:17" s="111" customFormat="1">
      <c r="A118" s="179"/>
      <c r="B118" s="256"/>
      <c r="C118" s="79"/>
      <c r="D118" s="67"/>
      <c r="E118" s="77"/>
      <c r="F118" s="231"/>
      <c r="G118" s="62"/>
      <c r="H118" s="246"/>
      <c r="I118"/>
      <c r="J118"/>
      <c r="Q118"/>
    </row>
    <row r="119" spans="1:17" s="111" customFormat="1">
      <c r="A119" s="34">
        <f>MAX(A$1:A118)+1</f>
        <v>19</v>
      </c>
      <c r="B119" s="43"/>
      <c r="C119" s="36" t="s">
        <v>241</v>
      </c>
      <c r="D119" s="37"/>
      <c r="E119" s="38" t="s">
        <v>242</v>
      </c>
      <c r="F119" s="39"/>
      <c r="G119" s="40" t="s">
        <v>18</v>
      </c>
      <c r="H119" s="64">
        <v>350</v>
      </c>
      <c r="I119"/>
      <c r="J119"/>
      <c r="Q119"/>
    </row>
    <row r="120" spans="1:17" s="111" customFormat="1" ht="25.5">
      <c r="A120" s="72"/>
      <c r="B120" s="73"/>
      <c r="C120" s="66"/>
      <c r="D120" s="67" t="s">
        <v>243</v>
      </c>
      <c r="E120" s="71" t="s">
        <v>244</v>
      </c>
      <c r="F120" s="61"/>
      <c r="G120" s="62" t="s">
        <v>18</v>
      </c>
      <c r="H120" s="83">
        <v>350</v>
      </c>
      <c r="I120"/>
      <c r="J120"/>
      <c r="Q120"/>
    </row>
    <row r="121" spans="1:17" s="111" customFormat="1" ht="25.5">
      <c r="A121" s="179"/>
      <c r="B121" s="256"/>
      <c r="C121" s="79"/>
      <c r="D121" s="67"/>
      <c r="E121" s="77" t="s">
        <v>876</v>
      </c>
      <c r="F121" s="231">
        <v>350</v>
      </c>
      <c r="G121" s="62"/>
      <c r="H121" s="246"/>
      <c r="I121"/>
      <c r="J121"/>
      <c r="Q121"/>
    </row>
    <row r="122" spans="1:17" s="111" customFormat="1">
      <c r="A122" s="179"/>
      <c r="B122" s="256"/>
      <c r="C122" s="79"/>
      <c r="D122" s="67"/>
      <c r="E122" s="77"/>
      <c r="F122" s="231"/>
      <c r="G122" s="62"/>
      <c r="H122" s="246"/>
      <c r="I122"/>
      <c r="J122"/>
      <c r="Q122"/>
    </row>
    <row r="123" spans="1:17" s="111" customFormat="1">
      <c r="A123" s="34">
        <f>MAX(A$1:A122)+1</f>
        <v>20</v>
      </c>
      <c r="B123" s="256"/>
      <c r="C123" s="36" t="s">
        <v>245</v>
      </c>
      <c r="D123" s="37"/>
      <c r="E123" s="38" t="s">
        <v>246</v>
      </c>
      <c r="F123" s="39"/>
      <c r="G123" s="40" t="s">
        <v>18</v>
      </c>
      <c r="H123" s="64">
        <v>80</v>
      </c>
      <c r="I123"/>
      <c r="J123"/>
      <c r="Q123"/>
    </row>
    <row r="124" spans="1:17" s="111" customFormat="1" ht="25.5">
      <c r="A124" s="34"/>
      <c r="B124" s="256"/>
      <c r="C124" s="36"/>
      <c r="D124" s="67" t="s">
        <v>247</v>
      </c>
      <c r="E124" s="71" t="s">
        <v>248</v>
      </c>
      <c r="F124" s="61"/>
      <c r="G124" s="62" t="s">
        <v>18</v>
      </c>
      <c r="H124" s="83">
        <v>80</v>
      </c>
      <c r="I124"/>
      <c r="J124"/>
      <c r="Q124"/>
    </row>
    <row r="125" spans="1:17" s="111" customFormat="1">
      <c r="A125" s="179"/>
      <c r="B125" s="256"/>
      <c r="C125" s="79"/>
      <c r="D125" s="67"/>
      <c r="E125" s="121" t="s">
        <v>608</v>
      </c>
      <c r="F125" s="231"/>
      <c r="G125" s="62"/>
      <c r="H125" s="246"/>
      <c r="I125"/>
      <c r="J125"/>
      <c r="Q125"/>
    </row>
    <row r="126" spans="1:17" s="111" customFormat="1">
      <c r="A126" s="179"/>
      <c r="B126" s="256"/>
      <c r="C126" s="79"/>
      <c r="D126" s="67"/>
      <c r="E126" s="77" t="s">
        <v>877</v>
      </c>
      <c r="F126" s="231">
        <v>80</v>
      </c>
      <c r="G126" s="62"/>
      <c r="H126" s="246"/>
      <c r="I126"/>
      <c r="J126"/>
      <c r="Q126"/>
    </row>
    <row r="127" spans="1:17" s="111" customFormat="1">
      <c r="A127" s="179"/>
      <c r="B127" s="256"/>
      <c r="C127" s="79"/>
      <c r="D127" s="67"/>
      <c r="E127" s="77"/>
      <c r="F127" s="231"/>
      <c r="G127" s="62"/>
      <c r="H127" s="246"/>
      <c r="I127"/>
      <c r="J127"/>
      <c r="Q127"/>
    </row>
    <row r="128" spans="1:17" ht="25.5">
      <c r="A128" s="34">
        <f>MAX(A$1:A127)+1</f>
        <v>21</v>
      </c>
      <c r="B128" s="43"/>
      <c r="C128" s="36" t="s">
        <v>249</v>
      </c>
      <c r="D128" s="37"/>
      <c r="E128" s="38" t="s">
        <v>250</v>
      </c>
      <c r="F128" s="39"/>
      <c r="G128" s="40" t="s">
        <v>21</v>
      </c>
      <c r="H128" s="64">
        <v>950</v>
      </c>
    </row>
    <row r="129" spans="1:17" s="111" customFormat="1" ht="25.5">
      <c r="A129" s="179"/>
      <c r="B129" s="256"/>
      <c r="C129" s="66"/>
      <c r="D129" s="67" t="s">
        <v>251</v>
      </c>
      <c r="E129" s="71" t="s">
        <v>252</v>
      </c>
      <c r="F129" s="61"/>
      <c r="G129" s="62" t="s">
        <v>21</v>
      </c>
      <c r="H129" s="83">
        <v>950</v>
      </c>
      <c r="Q129"/>
    </row>
    <row r="130" spans="1:17" s="111" customFormat="1">
      <c r="A130" s="179"/>
      <c r="B130" s="256"/>
      <c r="C130" s="79"/>
      <c r="D130" s="67"/>
      <c r="E130" s="77" t="s">
        <v>878</v>
      </c>
      <c r="F130" s="231">
        <v>950</v>
      </c>
      <c r="G130" s="62"/>
      <c r="H130" s="246"/>
      <c r="Q130"/>
    </row>
    <row r="131" spans="1:17" s="111" customFormat="1">
      <c r="A131" s="179"/>
      <c r="B131" s="256"/>
      <c r="C131" s="79"/>
      <c r="D131" s="67"/>
      <c r="E131" s="77"/>
      <c r="F131" s="257"/>
      <c r="G131" s="62"/>
      <c r="H131" s="246"/>
      <c r="Q131"/>
    </row>
    <row r="132" spans="1:17" s="111" customFormat="1">
      <c r="A132" s="34">
        <f>MAX(A$1:A131)+1</f>
        <v>22</v>
      </c>
      <c r="B132" s="256"/>
      <c r="C132" s="36" t="s">
        <v>253</v>
      </c>
      <c r="D132" s="37"/>
      <c r="E132" s="38" t="s">
        <v>254</v>
      </c>
      <c r="F132" s="39"/>
      <c r="G132" s="40" t="s">
        <v>21</v>
      </c>
      <c r="H132" s="64">
        <v>950</v>
      </c>
      <c r="Q132"/>
    </row>
    <row r="133" spans="1:17" s="111" customFormat="1" ht="25.5">
      <c r="A133" s="179"/>
      <c r="B133" s="256"/>
      <c r="C133" s="66"/>
      <c r="D133" s="67" t="s">
        <v>255</v>
      </c>
      <c r="E133" s="71" t="s">
        <v>256</v>
      </c>
      <c r="F133" s="61"/>
      <c r="G133" s="62" t="s">
        <v>21</v>
      </c>
      <c r="H133" s="83">
        <v>950</v>
      </c>
      <c r="Q133"/>
    </row>
    <row r="134" spans="1:17" s="111" customFormat="1">
      <c r="A134" s="179"/>
      <c r="B134" s="256"/>
      <c r="C134" s="79"/>
      <c r="D134" s="67"/>
      <c r="E134" s="77" t="s">
        <v>879</v>
      </c>
      <c r="F134" s="81">
        <v>950</v>
      </c>
      <c r="G134" s="62"/>
      <c r="H134" s="246"/>
      <c r="Q134"/>
    </row>
    <row r="135" spans="1:17" s="111" customFormat="1">
      <c r="A135" s="179"/>
      <c r="B135" s="256"/>
      <c r="C135" s="79"/>
      <c r="D135" s="67"/>
      <c r="E135" s="91"/>
      <c r="F135" s="81"/>
      <c r="G135" s="62"/>
      <c r="H135" s="246"/>
      <c r="Q135"/>
    </row>
    <row r="136" spans="1:17" s="111" customFormat="1">
      <c r="A136" s="34">
        <f>MAX(A$1:A135)+1</f>
        <v>23</v>
      </c>
      <c r="B136" s="256"/>
      <c r="C136" s="36" t="s">
        <v>257</v>
      </c>
      <c r="D136" s="37"/>
      <c r="E136" s="38" t="s">
        <v>258</v>
      </c>
      <c r="F136" s="39"/>
      <c r="G136" s="40" t="s">
        <v>21</v>
      </c>
      <c r="H136" s="64">
        <v>350</v>
      </c>
      <c r="Q136"/>
    </row>
    <row r="137" spans="1:17" s="111" customFormat="1" ht="25.5">
      <c r="A137" s="179"/>
      <c r="B137" s="256"/>
      <c r="C137" s="66"/>
      <c r="D137" s="67" t="s">
        <v>259</v>
      </c>
      <c r="E137" s="71" t="s">
        <v>260</v>
      </c>
      <c r="F137" s="61"/>
      <c r="G137" s="62" t="s">
        <v>21</v>
      </c>
      <c r="H137" s="83">
        <v>350</v>
      </c>
      <c r="Q137"/>
    </row>
    <row r="138" spans="1:17" s="111" customFormat="1">
      <c r="A138" s="179"/>
      <c r="B138" s="256"/>
      <c r="C138" s="66"/>
      <c r="D138" s="67"/>
      <c r="E138" s="65" t="s">
        <v>880</v>
      </c>
      <c r="F138" s="46">
        <v>350</v>
      </c>
      <c r="G138" s="62"/>
      <c r="H138" s="246"/>
      <c r="Q138"/>
    </row>
    <row r="139" spans="1:17" s="111" customFormat="1">
      <c r="A139" s="179"/>
      <c r="B139" s="256"/>
      <c r="C139" s="79"/>
      <c r="D139" s="67"/>
      <c r="E139" s="91"/>
      <c r="F139" s="81"/>
      <c r="G139" s="62"/>
      <c r="H139" s="246"/>
      <c r="Q139"/>
    </row>
    <row r="140" spans="1:17" s="111" customFormat="1">
      <c r="A140" s="179"/>
      <c r="B140" s="35" t="s">
        <v>56</v>
      </c>
      <c r="C140" s="93"/>
      <c r="D140" s="94"/>
      <c r="E140" s="96" t="s">
        <v>57</v>
      </c>
      <c r="F140" s="81"/>
      <c r="G140" s="62"/>
      <c r="H140" s="246"/>
      <c r="Q140"/>
    </row>
    <row r="141" spans="1:17" s="111" customFormat="1">
      <c r="A141" s="179"/>
      <c r="B141" s="35"/>
      <c r="C141" s="93"/>
      <c r="D141" s="94"/>
      <c r="E141" s="50"/>
      <c r="F141" s="81"/>
      <c r="G141" s="62"/>
      <c r="H141" s="246"/>
      <c r="Q141"/>
    </row>
    <row r="142" spans="1:17" s="111" customFormat="1">
      <c r="A142" s="34">
        <f>MAX(A$1:A141)+1</f>
        <v>24</v>
      </c>
      <c r="B142" s="256"/>
      <c r="C142" s="36" t="s">
        <v>58</v>
      </c>
      <c r="D142" s="37"/>
      <c r="E142" s="38" t="s">
        <v>59</v>
      </c>
      <c r="F142" s="39"/>
      <c r="G142" s="40" t="s">
        <v>18</v>
      </c>
      <c r="H142" s="64">
        <v>210</v>
      </c>
      <c r="Q142"/>
    </row>
    <row r="143" spans="1:17" s="111" customFormat="1">
      <c r="A143" s="179"/>
      <c r="B143" s="256"/>
      <c r="C143" s="66"/>
      <c r="D143" s="67" t="s">
        <v>60</v>
      </c>
      <c r="E143" s="71" t="s">
        <v>61</v>
      </c>
      <c r="F143" s="61"/>
      <c r="G143" s="62" t="s">
        <v>18</v>
      </c>
      <c r="H143" s="83">
        <v>210</v>
      </c>
      <c r="Q143"/>
    </row>
    <row r="144" spans="1:17" s="111" customFormat="1">
      <c r="A144" s="179"/>
      <c r="B144" s="256"/>
      <c r="C144" s="66"/>
      <c r="D144" s="67"/>
      <c r="E144" s="65" t="s">
        <v>166</v>
      </c>
      <c r="F144" s="46">
        <f>F113</f>
        <v>210</v>
      </c>
      <c r="G144" s="62"/>
      <c r="H144" s="83"/>
      <c r="Q144"/>
    </row>
    <row r="145" spans="1:17" s="111" customFormat="1">
      <c r="A145" s="179"/>
      <c r="B145" s="256"/>
      <c r="C145" s="66"/>
      <c r="D145" s="67"/>
      <c r="E145" s="71"/>
      <c r="F145" s="61"/>
      <c r="G145" s="62"/>
      <c r="H145" s="83"/>
      <c r="Q145"/>
    </row>
    <row r="146" spans="1:17" s="111" customFormat="1">
      <c r="A146" s="34">
        <f>MAX(A$1:A145)+1</f>
        <v>25</v>
      </c>
      <c r="B146" s="256"/>
      <c r="C146" s="36" t="s">
        <v>497</v>
      </c>
      <c r="D146" s="37"/>
      <c r="E146" s="38" t="s">
        <v>498</v>
      </c>
      <c r="F146" s="39"/>
      <c r="G146" s="40" t="s">
        <v>18</v>
      </c>
      <c r="H146" s="64">
        <v>210</v>
      </c>
      <c r="Q146"/>
    </row>
    <row r="147" spans="1:17" s="111" customFormat="1" ht="25.5">
      <c r="A147" s="179"/>
      <c r="B147" s="256"/>
      <c r="C147" s="66"/>
      <c r="D147" s="67" t="s">
        <v>499</v>
      </c>
      <c r="E147" s="71" t="s">
        <v>500</v>
      </c>
      <c r="F147" s="61"/>
      <c r="G147" s="62" t="s">
        <v>18</v>
      </c>
      <c r="H147" s="83">
        <v>210</v>
      </c>
      <c r="Q147"/>
    </row>
    <row r="148" spans="1:17" s="111" customFormat="1">
      <c r="A148" s="179"/>
      <c r="B148" s="256"/>
      <c r="C148" s="66"/>
      <c r="D148" s="67"/>
      <c r="E148" s="65" t="s">
        <v>290</v>
      </c>
      <c r="F148" s="46">
        <f>F144</f>
        <v>210</v>
      </c>
      <c r="G148" s="62"/>
      <c r="H148" s="246"/>
      <c r="Q148"/>
    </row>
    <row r="149" spans="1:17" s="111" customFormat="1">
      <c r="A149" s="179"/>
      <c r="B149" s="256"/>
      <c r="C149" s="66"/>
      <c r="D149" s="67"/>
      <c r="E149" s="65"/>
      <c r="F149" s="46"/>
      <c r="G149" s="62"/>
      <c r="H149" s="246"/>
      <c r="Q149"/>
    </row>
    <row r="150" spans="1:17" s="111" customFormat="1">
      <c r="A150" s="34">
        <f>MAX(A$1:A149)+1</f>
        <v>26</v>
      </c>
      <c r="B150" s="256"/>
      <c r="C150" s="36" t="s">
        <v>62</v>
      </c>
      <c r="D150" s="37"/>
      <c r="E150" s="38" t="s">
        <v>63</v>
      </c>
      <c r="F150" s="39"/>
      <c r="G150" s="40" t="s">
        <v>18</v>
      </c>
      <c r="H150" s="64">
        <v>290</v>
      </c>
      <c r="Q150"/>
    </row>
    <row r="151" spans="1:17" s="111" customFormat="1" ht="25.5">
      <c r="A151" s="179"/>
      <c r="B151" s="256"/>
      <c r="C151" s="66"/>
      <c r="D151" s="67" t="s">
        <v>64</v>
      </c>
      <c r="E151" s="71" t="s">
        <v>89</v>
      </c>
      <c r="F151" s="61"/>
      <c r="G151" s="62" t="s">
        <v>18</v>
      </c>
      <c r="H151" s="83">
        <v>290</v>
      </c>
      <c r="Q151"/>
    </row>
    <row r="152" spans="1:17" s="111" customFormat="1">
      <c r="A152" s="179"/>
      <c r="B152" s="256"/>
      <c r="C152" s="66"/>
      <c r="D152" s="67"/>
      <c r="E152" s="65" t="s">
        <v>881</v>
      </c>
      <c r="F152" s="46">
        <f>F121-F117</f>
        <v>290</v>
      </c>
      <c r="G152" s="62"/>
      <c r="H152" s="246"/>
      <c r="Q152"/>
    </row>
    <row r="153" spans="1:17" s="111" customFormat="1">
      <c r="A153" s="179"/>
      <c r="B153" s="256"/>
      <c r="C153" s="66"/>
      <c r="D153" s="67"/>
      <c r="E153" s="71"/>
      <c r="F153" s="61"/>
      <c r="G153" s="62"/>
      <c r="H153" s="246"/>
      <c r="Q153"/>
    </row>
    <row r="154" spans="1:17" s="111" customFormat="1">
      <c r="A154" s="34">
        <f>MAX(A$1:A153)+1</f>
        <v>27</v>
      </c>
      <c r="B154" s="43"/>
      <c r="C154" s="36" t="s">
        <v>291</v>
      </c>
      <c r="D154" s="37"/>
      <c r="E154" s="38" t="s">
        <v>292</v>
      </c>
      <c r="F154" s="39"/>
      <c r="G154" s="40" t="s">
        <v>18</v>
      </c>
      <c r="H154" s="64">
        <v>210</v>
      </c>
      <c r="Q154"/>
    </row>
    <row r="155" spans="1:17" s="111" customFormat="1" ht="25.5">
      <c r="A155" s="72"/>
      <c r="B155" s="73"/>
      <c r="C155" s="66"/>
      <c r="D155" s="67" t="s">
        <v>293</v>
      </c>
      <c r="E155" s="71" t="s">
        <v>294</v>
      </c>
      <c r="F155" s="61"/>
      <c r="G155" s="62" t="s">
        <v>18</v>
      </c>
      <c r="H155" s="83">
        <v>210</v>
      </c>
      <c r="Q155"/>
    </row>
    <row r="156" spans="1:17" s="111" customFormat="1">
      <c r="A156" s="95"/>
      <c r="B156" s="35"/>
      <c r="C156" s="93"/>
      <c r="D156" s="94"/>
      <c r="E156" s="168" t="s">
        <v>295</v>
      </c>
      <c r="F156" s="104">
        <f>F113</f>
        <v>210</v>
      </c>
      <c r="G156" s="97"/>
      <c r="H156" s="246"/>
      <c r="Q156"/>
    </row>
    <row r="157" spans="1:17" s="111" customFormat="1">
      <c r="A157" s="179"/>
      <c r="B157" s="256"/>
      <c r="C157" s="66"/>
      <c r="D157" s="67"/>
      <c r="E157" s="71"/>
      <c r="F157" s="61"/>
      <c r="G157" s="62"/>
      <c r="H157" s="246"/>
      <c r="Q157"/>
    </row>
    <row r="158" spans="1:17" s="111" customFormat="1">
      <c r="A158" s="34">
        <f>MAX(A$1:A157)+1</f>
        <v>28</v>
      </c>
      <c r="B158" s="256"/>
      <c r="C158" s="36" t="s">
        <v>83</v>
      </c>
      <c r="D158" s="37"/>
      <c r="E158" s="38" t="s">
        <v>84</v>
      </c>
      <c r="F158" s="39"/>
      <c r="G158" s="40" t="s">
        <v>18</v>
      </c>
      <c r="H158" s="64">
        <v>500</v>
      </c>
      <c r="Q158"/>
    </row>
    <row r="159" spans="1:17" s="111" customFormat="1" ht="25.5">
      <c r="A159" s="179"/>
      <c r="B159" s="256"/>
      <c r="C159" s="66"/>
      <c r="D159" s="67" t="s">
        <v>85</v>
      </c>
      <c r="E159" s="71" t="s">
        <v>86</v>
      </c>
      <c r="F159" s="61"/>
      <c r="G159" s="62" t="s">
        <v>18</v>
      </c>
      <c r="H159" s="83">
        <v>500</v>
      </c>
      <c r="Q159"/>
    </row>
    <row r="160" spans="1:17" s="111" customFormat="1">
      <c r="A160" s="179"/>
      <c r="B160" s="256"/>
      <c r="C160" s="66"/>
      <c r="D160" s="67"/>
      <c r="E160" s="168" t="s">
        <v>184</v>
      </c>
      <c r="F160" s="90">
        <f>F144</f>
        <v>210</v>
      </c>
      <c r="G160" s="62"/>
      <c r="H160" s="246"/>
      <c r="Q160"/>
    </row>
    <row r="161" spans="1:17" s="111" customFormat="1" ht="25.5">
      <c r="A161" s="179"/>
      <c r="B161" s="256"/>
      <c r="C161" s="66"/>
      <c r="D161" s="67"/>
      <c r="E161" s="168" t="s">
        <v>882</v>
      </c>
      <c r="F161" s="138">
        <f>F152</f>
        <v>290</v>
      </c>
      <c r="G161" s="62"/>
      <c r="H161" s="246"/>
      <c r="Q161"/>
    </row>
    <row r="162" spans="1:17" s="111" customFormat="1">
      <c r="A162" s="179"/>
      <c r="B162" s="256"/>
      <c r="C162" s="66"/>
      <c r="D162" s="67"/>
      <c r="E162" s="168"/>
      <c r="F162" s="90">
        <f>SUM(F160:F161)</f>
        <v>500</v>
      </c>
      <c r="G162" s="62"/>
      <c r="H162" s="246"/>
      <c r="Q162"/>
    </row>
    <row r="163" spans="1:17" s="111" customFormat="1">
      <c r="A163" s="179"/>
      <c r="B163" s="256"/>
      <c r="C163" s="66"/>
      <c r="D163" s="67"/>
      <c r="E163" s="71"/>
      <c r="F163" s="61"/>
      <c r="G163" s="62"/>
      <c r="H163" s="246"/>
      <c r="Q163"/>
    </row>
    <row r="164" spans="1:17" s="98" customFormat="1" ht="25.5">
      <c r="A164" s="34"/>
      <c r="B164" s="35" t="s">
        <v>261</v>
      </c>
      <c r="C164" s="35"/>
      <c r="D164" s="94"/>
      <c r="E164" s="50" t="s">
        <v>262</v>
      </c>
      <c r="F164" s="100"/>
      <c r="G164" s="97"/>
      <c r="H164" s="42"/>
      <c r="I164"/>
      <c r="J164"/>
      <c r="K164"/>
      <c r="L164"/>
      <c r="Q164"/>
    </row>
    <row r="165" spans="1:17" s="98" customFormat="1">
      <c r="A165" s="145"/>
      <c r="B165" s="35"/>
      <c r="C165" s="35"/>
      <c r="D165" s="94"/>
      <c r="E165" s="50"/>
      <c r="F165" s="100"/>
      <c r="G165" s="97"/>
      <c r="H165" s="42"/>
      <c r="I165"/>
      <c r="J165"/>
      <c r="K165"/>
      <c r="L165"/>
      <c r="Q165"/>
    </row>
    <row r="166" spans="1:17" ht="25.5">
      <c r="A166" s="34">
        <f>MAX(A$1:A165)+1</f>
        <v>29</v>
      </c>
      <c r="B166" s="43"/>
      <c r="C166" s="36" t="s">
        <v>628</v>
      </c>
      <c r="D166" s="37"/>
      <c r="E166" s="38" t="s">
        <v>629</v>
      </c>
      <c r="F166" s="39"/>
      <c r="G166" s="40" t="s">
        <v>21</v>
      </c>
      <c r="H166" s="64">
        <v>900</v>
      </c>
    </row>
    <row r="167" spans="1:17" ht="25.5">
      <c r="A167" s="72"/>
      <c r="B167" s="73"/>
      <c r="C167" s="66"/>
      <c r="D167" s="67" t="s">
        <v>630</v>
      </c>
      <c r="E167" s="71" t="s">
        <v>631</v>
      </c>
      <c r="F167" s="61"/>
      <c r="G167" s="62" t="s">
        <v>21</v>
      </c>
      <c r="H167" s="83">
        <v>900</v>
      </c>
    </row>
    <row r="168" spans="1:17" s="98" customFormat="1">
      <c r="A168" s="145"/>
      <c r="B168" s="35"/>
      <c r="C168" s="35"/>
      <c r="D168" s="94"/>
      <c r="E168" s="65" t="s">
        <v>883</v>
      </c>
      <c r="F168" s="212">
        <v>900</v>
      </c>
      <c r="G168" s="97"/>
      <c r="H168" s="42"/>
      <c r="I168"/>
      <c r="J168"/>
      <c r="K168"/>
      <c r="L168"/>
      <c r="Q168"/>
    </row>
    <row r="169" spans="1:17" s="98" customFormat="1">
      <c r="A169" s="145"/>
      <c r="B169" s="35"/>
      <c r="C169" s="35"/>
      <c r="D169" s="94"/>
      <c r="E169" s="65"/>
      <c r="F169" s="212"/>
      <c r="G169" s="97"/>
      <c r="H169" s="42"/>
      <c r="I169"/>
      <c r="J169"/>
      <c r="K169"/>
      <c r="L169"/>
      <c r="Q169"/>
    </row>
    <row r="170" spans="1:17" ht="25.5">
      <c r="A170" s="105"/>
      <c r="B170" s="35" t="s">
        <v>270</v>
      </c>
      <c r="C170" s="35"/>
      <c r="D170" s="94"/>
      <c r="E170" s="211" t="s">
        <v>271</v>
      </c>
      <c r="F170" s="46"/>
      <c r="G170" s="62"/>
      <c r="H170" s="74"/>
    </row>
    <row r="171" spans="1:17">
      <c r="A171" s="105"/>
      <c r="B171" s="35"/>
      <c r="C171" s="35"/>
      <c r="D171" s="94"/>
      <c r="E171" s="211"/>
      <c r="F171" s="46"/>
      <c r="G171" s="62"/>
      <c r="H171" s="74"/>
    </row>
    <row r="172" spans="1:17" ht="25.5">
      <c r="A172" s="34">
        <f>MAX(A$1:A171)+1</f>
        <v>30</v>
      </c>
      <c r="B172" s="35"/>
      <c r="C172" s="36" t="s">
        <v>385</v>
      </c>
      <c r="D172" s="37"/>
      <c r="E172" s="38" t="s">
        <v>386</v>
      </c>
      <c r="F172" s="39"/>
      <c r="G172" s="40" t="s">
        <v>18</v>
      </c>
      <c r="H172" s="44">
        <v>214.5</v>
      </c>
      <c r="I172" s="691"/>
    </row>
    <row r="173" spans="1:17" ht="25.5">
      <c r="A173" s="105"/>
      <c r="B173" s="35"/>
      <c r="C173" s="35"/>
      <c r="D173" s="94"/>
      <c r="E173" s="65" t="s">
        <v>884</v>
      </c>
      <c r="F173" s="46">
        <f>0.15*950</f>
        <v>142.5</v>
      </c>
      <c r="G173" s="62"/>
      <c r="H173" s="74"/>
    </row>
    <row r="174" spans="1:17" ht="25.5">
      <c r="A174" s="105"/>
      <c r="B174" s="35"/>
      <c r="C174" s="35"/>
      <c r="D174" s="94"/>
      <c r="E174" s="65" t="s">
        <v>885</v>
      </c>
      <c r="F174" s="69">
        <f>0.18*400</f>
        <v>72</v>
      </c>
      <c r="G174" s="62"/>
      <c r="H174" s="74"/>
    </row>
    <row r="175" spans="1:17">
      <c r="A175" s="105"/>
      <c r="B175" s="35"/>
      <c r="C175" s="35"/>
      <c r="D175" s="94"/>
      <c r="E175" s="65"/>
      <c r="F175" s="46">
        <f>SUM(F173:F174)</f>
        <v>214.5</v>
      </c>
      <c r="G175" s="62"/>
      <c r="H175" s="74"/>
    </row>
    <row r="176" spans="1:17">
      <c r="A176" s="105"/>
      <c r="B176" s="35"/>
      <c r="C176" s="35"/>
      <c r="D176" s="94"/>
      <c r="E176" s="65"/>
      <c r="F176" s="46"/>
      <c r="G176" s="62"/>
      <c r="H176" s="74"/>
    </row>
    <row r="177" spans="1:21" ht="25.5">
      <c r="A177" s="34">
        <f>MAX(A$1:A176)+1</f>
        <v>31</v>
      </c>
      <c r="B177" s="35"/>
      <c r="C177" s="36" t="s">
        <v>272</v>
      </c>
      <c r="D177" s="37"/>
      <c r="E177" s="38" t="s">
        <v>273</v>
      </c>
      <c r="F177" s="39"/>
      <c r="G177" s="40" t="s">
        <v>18</v>
      </c>
      <c r="H177" s="64">
        <v>80</v>
      </c>
    </row>
    <row r="178" spans="1:21" ht="25.5">
      <c r="A178" s="105"/>
      <c r="B178" s="35"/>
      <c r="C178" s="66"/>
      <c r="D178" s="67" t="s">
        <v>274</v>
      </c>
      <c r="E178" s="71" t="s">
        <v>275</v>
      </c>
      <c r="F178" s="61"/>
      <c r="G178" s="62" t="s">
        <v>18</v>
      </c>
      <c r="H178" s="83">
        <v>80</v>
      </c>
    </row>
    <row r="179" spans="1:21">
      <c r="A179" s="105"/>
      <c r="B179" s="35"/>
      <c r="C179" s="35"/>
      <c r="D179" s="94"/>
      <c r="E179" s="65" t="s">
        <v>877</v>
      </c>
      <c r="F179" s="46">
        <f>F126</f>
        <v>80</v>
      </c>
      <c r="G179" s="62"/>
      <c r="H179" s="74"/>
    </row>
    <row r="180" spans="1:21">
      <c r="A180" s="105"/>
      <c r="B180" s="73"/>
      <c r="C180" s="66"/>
      <c r="D180" s="67"/>
      <c r="E180" s="65"/>
      <c r="F180" s="46"/>
      <c r="G180" s="62"/>
      <c r="H180" s="74"/>
    </row>
    <row r="181" spans="1:21" ht="25.5">
      <c r="A181" s="34">
        <f>MAX(A$1:A180)+1</f>
        <v>32</v>
      </c>
      <c r="B181" s="73"/>
      <c r="C181" s="36" t="s">
        <v>308</v>
      </c>
      <c r="D181" s="37"/>
      <c r="E181" s="38" t="s">
        <v>309</v>
      </c>
      <c r="F181" s="39"/>
      <c r="G181" s="40" t="s">
        <v>18</v>
      </c>
      <c r="H181" s="64">
        <v>95</v>
      </c>
      <c r="I181" s="54"/>
    </row>
    <row r="182" spans="1:21" ht="25.5">
      <c r="A182" s="105"/>
      <c r="B182" s="73"/>
      <c r="C182" s="66"/>
      <c r="D182" s="67"/>
      <c r="E182" s="65" t="s">
        <v>886</v>
      </c>
      <c r="F182" s="46">
        <f>0.1*950</f>
        <v>95</v>
      </c>
      <c r="G182" s="62"/>
      <c r="H182" s="74"/>
    </row>
    <row r="183" spans="1:21">
      <c r="A183" s="105"/>
      <c r="B183" s="73"/>
      <c r="C183" s="66"/>
      <c r="D183" s="67"/>
      <c r="E183" s="65"/>
      <c r="F183" s="46"/>
      <c r="G183" s="62"/>
      <c r="H183" s="74"/>
    </row>
    <row r="184" spans="1:21">
      <c r="A184" s="34"/>
      <c r="B184" s="35" t="s">
        <v>131</v>
      </c>
      <c r="C184" s="35"/>
      <c r="D184" s="94"/>
      <c r="E184" s="50" t="s">
        <v>132</v>
      </c>
      <c r="F184" s="46"/>
      <c r="G184" s="40"/>
      <c r="H184" s="254"/>
      <c r="I184" s="115"/>
    </row>
    <row r="185" spans="1:21">
      <c r="A185" s="34"/>
      <c r="B185" s="43"/>
      <c r="C185" s="36"/>
      <c r="D185" s="37"/>
      <c r="E185" s="38"/>
      <c r="F185" s="46"/>
      <c r="G185" s="40"/>
      <c r="H185" s="254"/>
      <c r="I185" s="115"/>
    </row>
    <row r="186" spans="1:21" ht="25.5">
      <c r="A186" s="34">
        <f>MAX(A$1:A185)+1</f>
        <v>33</v>
      </c>
      <c r="B186" s="43"/>
      <c r="C186" s="36" t="s">
        <v>318</v>
      </c>
      <c r="D186" s="37"/>
      <c r="E186" s="38" t="s">
        <v>319</v>
      </c>
      <c r="F186" s="39"/>
      <c r="G186" s="40" t="s">
        <v>21</v>
      </c>
      <c r="H186" s="64">
        <v>950</v>
      </c>
      <c r="I186" s="115"/>
    </row>
    <row r="187" spans="1:21" ht="25.5">
      <c r="A187" s="34"/>
      <c r="B187" s="43"/>
      <c r="C187" s="66"/>
      <c r="D187" s="67" t="s">
        <v>320</v>
      </c>
      <c r="E187" s="71" t="s">
        <v>321</v>
      </c>
      <c r="F187" s="61"/>
      <c r="G187" s="62" t="s">
        <v>21</v>
      </c>
      <c r="H187" s="83">
        <v>950</v>
      </c>
      <c r="I187" s="115"/>
    </row>
    <row r="188" spans="1:21">
      <c r="A188" s="34"/>
      <c r="B188" s="43"/>
      <c r="C188" s="36"/>
      <c r="D188" s="37"/>
      <c r="E188" s="65" t="s">
        <v>887</v>
      </c>
      <c r="F188" s="46">
        <v>950</v>
      </c>
      <c r="G188" s="40"/>
      <c r="H188" s="254"/>
      <c r="I188" s="115"/>
    </row>
    <row r="189" spans="1:21">
      <c r="A189" s="34"/>
      <c r="B189" s="43"/>
      <c r="C189" s="36"/>
      <c r="D189" s="37"/>
      <c r="E189" s="38"/>
      <c r="F189" s="46"/>
      <c r="G189" s="40"/>
      <c r="H189" s="254"/>
      <c r="I189" s="115"/>
    </row>
    <row r="190" spans="1:21">
      <c r="A190" s="72"/>
      <c r="B190" s="73"/>
      <c r="C190" s="66"/>
      <c r="D190" s="67"/>
      <c r="E190" s="84"/>
      <c r="F190" s="90"/>
      <c r="G190" s="62"/>
      <c r="H190" s="99"/>
    </row>
    <row r="191" spans="1:21" ht="15.75" thickBot="1">
      <c r="A191" s="106"/>
      <c r="B191" s="107"/>
      <c r="C191" s="107"/>
      <c r="D191" s="107"/>
      <c r="E191" s="108"/>
      <c r="F191" s="109"/>
      <c r="G191" s="107"/>
      <c r="H191" s="110"/>
    </row>
    <row r="192" spans="1:21">
      <c r="E192" s="6"/>
      <c r="F192" s="112"/>
      <c r="H192" s="8"/>
      <c r="Q192" s="223"/>
      <c r="U192" s="223"/>
    </row>
  </sheetData>
  <sheetProtection algorithmName="SHA-512" hashValue="bpr4rMjkOMsb5w9bnD5qx3bE+lileUTV3D5+dPI2jRTklNqoQbpbJrFMtuuj9QfTtSaXY5rwqaBAGfMMYqQOsA==" saltValue="2TTmh7tfpc8MJoBTLBjVR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CAEBE-CA4B-4F6B-9288-FDEF10A373D2}">
  <sheetPr codeName="Hárok28"/>
  <dimension ref="A1:K113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248" width="9.140625" style="989"/>
    <col min="249" max="249" width="4.7109375" style="989" customWidth="1"/>
    <col min="250" max="250" width="9.28515625" style="989" customWidth="1"/>
    <col min="251" max="251" width="9" style="989" customWidth="1"/>
    <col min="252" max="252" width="10.85546875" style="989" customWidth="1"/>
    <col min="253" max="253" width="52.7109375" style="989" customWidth="1"/>
    <col min="254" max="254" width="9.85546875" style="989" customWidth="1"/>
    <col min="255" max="255" width="5.7109375" style="989" customWidth="1"/>
    <col min="256" max="256" width="10.140625" style="989" customWidth="1"/>
    <col min="257" max="258" width="10.7109375" style="989" customWidth="1"/>
    <col min="259" max="259" width="10.5703125" style="989" customWidth="1"/>
    <col min="260" max="504" width="9.140625" style="989"/>
    <col min="505" max="505" width="4.7109375" style="989" customWidth="1"/>
    <col min="506" max="506" width="9.28515625" style="989" customWidth="1"/>
    <col min="507" max="507" width="9" style="989" customWidth="1"/>
    <col min="508" max="508" width="10.85546875" style="989" customWidth="1"/>
    <col min="509" max="509" width="52.7109375" style="989" customWidth="1"/>
    <col min="510" max="510" width="9.85546875" style="989" customWidth="1"/>
    <col min="511" max="511" width="5.7109375" style="989" customWidth="1"/>
    <col min="512" max="512" width="10.140625" style="989" customWidth="1"/>
    <col min="513" max="514" width="10.7109375" style="989" customWidth="1"/>
    <col min="515" max="515" width="10.5703125" style="989" customWidth="1"/>
    <col min="516" max="760" width="9.140625" style="989"/>
    <col min="761" max="761" width="4.7109375" style="989" customWidth="1"/>
    <col min="762" max="762" width="9.28515625" style="989" customWidth="1"/>
    <col min="763" max="763" width="9" style="989" customWidth="1"/>
    <col min="764" max="764" width="10.85546875" style="989" customWidth="1"/>
    <col min="765" max="765" width="52.7109375" style="989" customWidth="1"/>
    <col min="766" max="766" width="9.85546875" style="989" customWidth="1"/>
    <col min="767" max="767" width="5.7109375" style="989" customWidth="1"/>
    <col min="768" max="768" width="10.140625" style="989" customWidth="1"/>
    <col min="769" max="770" width="10.7109375" style="989" customWidth="1"/>
    <col min="771" max="771" width="10.5703125" style="989" customWidth="1"/>
    <col min="772" max="1016" width="9.140625" style="989"/>
    <col min="1017" max="1017" width="4.7109375" style="989" customWidth="1"/>
    <col min="1018" max="1018" width="9.28515625" style="989" customWidth="1"/>
    <col min="1019" max="1019" width="9" style="989" customWidth="1"/>
    <col min="1020" max="1020" width="10.85546875" style="989" customWidth="1"/>
    <col min="1021" max="1021" width="52.7109375" style="989" customWidth="1"/>
    <col min="1022" max="1022" width="9.85546875" style="989" customWidth="1"/>
    <col min="1023" max="1023" width="5.7109375" style="989" customWidth="1"/>
    <col min="1024" max="1024" width="10.140625" style="989" customWidth="1"/>
    <col min="1025" max="1026" width="10.7109375" style="989" customWidth="1"/>
    <col min="1027" max="1027" width="10.5703125" style="989" customWidth="1"/>
    <col min="1028" max="1272" width="9.140625" style="989"/>
    <col min="1273" max="1273" width="4.7109375" style="989" customWidth="1"/>
    <col min="1274" max="1274" width="9.28515625" style="989" customWidth="1"/>
    <col min="1275" max="1275" width="9" style="989" customWidth="1"/>
    <col min="1276" max="1276" width="10.85546875" style="989" customWidth="1"/>
    <col min="1277" max="1277" width="52.7109375" style="989" customWidth="1"/>
    <col min="1278" max="1278" width="9.85546875" style="989" customWidth="1"/>
    <col min="1279" max="1279" width="5.7109375" style="989" customWidth="1"/>
    <col min="1280" max="1280" width="10.140625" style="989" customWidth="1"/>
    <col min="1281" max="1282" width="10.7109375" style="989" customWidth="1"/>
    <col min="1283" max="1283" width="10.5703125" style="989" customWidth="1"/>
    <col min="1284" max="1528" width="9.140625" style="989"/>
    <col min="1529" max="1529" width="4.7109375" style="989" customWidth="1"/>
    <col min="1530" max="1530" width="9.28515625" style="989" customWidth="1"/>
    <col min="1531" max="1531" width="9" style="989" customWidth="1"/>
    <col min="1532" max="1532" width="10.85546875" style="989" customWidth="1"/>
    <col min="1533" max="1533" width="52.7109375" style="989" customWidth="1"/>
    <col min="1534" max="1534" width="9.85546875" style="989" customWidth="1"/>
    <col min="1535" max="1535" width="5.7109375" style="989" customWidth="1"/>
    <col min="1536" max="1536" width="10.140625" style="989" customWidth="1"/>
    <col min="1537" max="1538" width="10.7109375" style="989" customWidth="1"/>
    <col min="1539" max="1539" width="10.5703125" style="989" customWidth="1"/>
    <col min="1540" max="1784" width="9.140625" style="989"/>
    <col min="1785" max="1785" width="4.7109375" style="989" customWidth="1"/>
    <col min="1786" max="1786" width="9.28515625" style="989" customWidth="1"/>
    <col min="1787" max="1787" width="9" style="989" customWidth="1"/>
    <col min="1788" max="1788" width="10.85546875" style="989" customWidth="1"/>
    <col min="1789" max="1789" width="52.7109375" style="989" customWidth="1"/>
    <col min="1790" max="1790" width="9.85546875" style="989" customWidth="1"/>
    <col min="1791" max="1791" width="5.7109375" style="989" customWidth="1"/>
    <col min="1792" max="1792" width="10.140625" style="989" customWidth="1"/>
    <col min="1793" max="1794" width="10.7109375" style="989" customWidth="1"/>
    <col min="1795" max="1795" width="10.5703125" style="989" customWidth="1"/>
    <col min="1796" max="2040" width="9.140625" style="989"/>
    <col min="2041" max="2041" width="4.7109375" style="989" customWidth="1"/>
    <col min="2042" max="2042" width="9.28515625" style="989" customWidth="1"/>
    <col min="2043" max="2043" width="9" style="989" customWidth="1"/>
    <col min="2044" max="2044" width="10.85546875" style="989" customWidth="1"/>
    <col min="2045" max="2045" width="52.7109375" style="989" customWidth="1"/>
    <col min="2046" max="2046" width="9.85546875" style="989" customWidth="1"/>
    <col min="2047" max="2047" width="5.7109375" style="989" customWidth="1"/>
    <col min="2048" max="2048" width="10.140625" style="989" customWidth="1"/>
    <col min="2049" max="2050" width="10.7109375" style="989" customWidth="1"/>
    <col min="2051" max="2051" width="10.5703125" style="989" customWidth="1"/>
    <col min="2052" max="2296" width="9.140625" style="989"/>
    <col min="2297" max="2297" width="4.7109375" style="989" customWidth="1"/>
    <col min="2298" max="2298" width="9.28515625" style="989" customWidth="1"/>
    <col min="2299" max="2299" width="9" style="989" customWidth="1"/>
    <col min="2300" max="2300" width="10.85546875" style="989" customWidth="1"/>
    <col min="2301" max="2301" width="52.7109375" style="989" customWidth="1"/>
    <col min="2302" max="2302" width="9.85546875" style="989" customWidth="1"/>
    <col min="2303" max="2303" width="5.7109375" style="989" customWidth="1"/>
    <col min="2304" max="2304" width="10.140625" style="989" customWidth="1"/>
    <col min="2305" max="2306" width="10.7109375" style="989" customWidth="1"/>
    <col min="2307" max="2307" width="10.5703125" style="989" customWidth="1"/>
    <col min="2308" max="2552" width="9.140625" style="989"/>
    <col min="2553" max="2553" width="4.7109375" style="989" customWidth="1"/>
    <col min="2554" max="2554" width="9.28515625" style="989" customWidth="1"/>
    <col min="2555" max="2555" width="9" style="989" customWidth="1"/>
    <col min="2556" max="2556" width="10.85546875" style="989" customWidth="1"/>
    <col min="2557" max="2557" width="52.7109375" style="989" customWidth="1"/>
    <col min="2558" max="2558" width="9.85546875" style="989" customWidth="1"/>
    <col min="2559" max="2559" width="5.7109375" style="989" customWidth="1"/>
    <col min="2560" max="2560" width="10.140625" style="989" customWidth="1"/>
    <col min="2561" max="2562" width="10.7109375" style="989" customWidth="1"/>
    <col min="2563" max="2563" width="10.5703125" style="989" customWidth="1"/>
    <col min="2564" max="2808" width="9.140625" style="989"/>
    <col min="2809" max="2809" width="4.7109375" style="989" customWidth="1"/>
    <col min="2810" max="2810" width="9.28515625" style="989" customWidth="1"/>
    <col min="2811" max="2811" width="9" style="989" customWidth="1"/>
    <col min="2812" max="2812" width="10.85546875" style="989" customWidth="1"/>
    <col min="2813" max="2813" width="52.7109375" style="989" customWidth="1"/>
    <col min="2814" max="2814" width="9.85546875" style="989" customWidth="1"/>
    <col min="2815" max="2815" width="5.7109375" style="989" customWidth="1"/>
    <col min="2816" max="2816" width="10.140625" style="989" customWidth="1"/>
    <col min="2817" max="2818" width="10.7109375" style="989" customWidth="1"/>
    <col min="2819" max="2819" width="10.5703125" style="989" customWidth="1"/>
    <col min="2820" max="3064" width="9.140625" style="989"/>
    <col min="3065" max="3065" width="4.7109375" style="989" customWidth="1"/>
    <col min="3066" max="3066" width="9.28515625" style="989" customWidth="1"/>
    <col min="3067" max="3067" width="9" style="989" customWidth="1"/>
    <col min="3068" max="3068" width="10.85546875" style="989" customWidth="1"/>
    <col min="3069" max="3069" width="52.7109375" style="989" customWidth="1"/>
    <col min="3070" max="3070" width="9.85546875" style="989" customWidth="1"/>
    <col min="3071" max="3071" width="5.7109375" style="989" customWidth="1"/>
    <col min="3072" max="3072" width="10.140625" style="989" customWidth="1"/>
    <col min="3073" max="3074" width="10.7109375" style="989" customWidth="1"/>
    <col min="3075" max="3075" width="10.5703125" style="989" customWidth="1"/>
    <col min="3076" max="3320" width="9.140625" style="989"/>
    <col min="3321" max="3321" width="4.7109375" style="989" customWidth="1"/>
    <col min="3322" max="3322" width="9.28515625" style="989" customWidth="1"/>
    <col min="3323" max="3323" width="9" style="989" customWidth="1"/>
    <col min="3324" max="3324" width="10.85546875" style="989" customWidth="1"/>
    <col min="3325" max="3325" width="52.7109375" style="989" customWidth="1"/>
    <col min="3326" max="3326" width="9.85546875" style="989" customWidth="1"/>
    <col min="3327" max="3327" width="5.7109375" style="989" customWidth="1"/>
    <col min="3328" max="3328" width="10.140625" style="989" customWidth="1"/>
    <col min="3329" max="3330" width="10.7109375" style="989" customWidth="1"/>
    <col min="3331" max="3331" width="10.5703125" style="989" customWidth="1"/>
    <col min="3332" max="3576" width="9.140625" style="989"/>
    <col min="3577" max="3577" width="4.7109375" style="989" customWidth="1"/>
    <col min="3578" max="3578" width="9.28515625" style="989" customWidth="1"/>
    <col min="3579" max="3579" width="9" style="989" customWidth="1"/>
    <col min="3580" max="3580" width="10.85546875" style="989" customWidth="1"/>
    <col min="3581" max="3581" width="52.7109375" style="989" customWidth="1"/>
    <col min="3582" max="3582" width="9.85546875" style="989" customWidth="1"/>
    <col min="3583" max="3583" width="5.7109375" style="989" customWidth="1"/>
    <col min="3584" max="3584" width="10.140625" style="989" customWidth="1"/>
    <col min="3585" max="3586" width="10.7109375" style="989" customWidth="1"/>
    <col min="3587" max="3587" width="10.5703125" style="989" customWidth="1"/>
    <col min="3588" max="3832" width="9.140625" style="989"/>
    <col min="3833" max="3833" width="4.7109375" style="989" customWidth="1"/>
    <col min="3834" max="3834" width="9.28515625" style="989" customWidth="1"/>
    <col min="3835" max="3835" width="9" style="989" customWidth="1"/>
    <col min="3836" max="3836" width="10.85546875" style="989" customWidth="1"/>
    <col min="3837" max="3837" width="52.7109375" style="989" customWidth="1"/>
    <col min="3838" max="3838" width="9.85546875" style="989" customWidth="1"/>
    <col min="3839" max="3839" width="5.7109375" style="989" customWidth="1"/>
    <col min="3840" max="3840" width="10.140625" style="989" customWidth="1"/>
    <col min="3841" max="3842" width="10.7109375" style="989" customWidth="1"/>
    <col min="3843" max="3843" width="10.5703125" style="989" customWidth="1"/>
    <col min="3844" max="4088" width="9.140625" style="989"/>
    <col min="4089" max="4089" width="4.7109375" style="989" customWidth="1"/>
    <col min="4090" max="4090" width="9.28515625" style="989" customWidth="1"/>
    <col min="4091" max="4091" width="9" style="989" customWidth="1"/>
    <col min="4092" max="4092" width="10.85546875" style="989" customWidth="1"/>
    <col min="4093" max="4093" width="52.7109375" style="989" customWidth="1"/>
    <col min="4094" max="4094" width="9.85546875" style="989" customWidth="1"/>
    <col min="4095" max="4095" width="5.7109375" style="989" customWidth="1"/>
    <col min="4096" max="4096" width="10.140625" style="989" customWidth="1"/>
    <col min="4097" max="4098" width="10.7109375" style="989" customWidth="1"/>
    <col min="4099" max="4099" width="10.5703125" style="989" customWidth="1"/>
    <col min="4100" max="4344" width="9.140625" style="989"/>
    <col min="4345" max="4345" width="4.7109375" style="989" customWidth="1"/>
    <col min="4346" max="4346" width="9.28515625" style="989" customWidth="1"/>
    <col min="4347" max="4347" width="9" style="989" customWidth="1"/>
    <col min="4348" max="4348" width="10.85546875" style="989" customWidth="1"/>
    <col min="4349" max="4349" width="52.7109375" style="989" customWidth="1"/>
    <col min="4350" max="4350" width="9.85546875" style="989" customWidth="1"/>
    <col min="4351" max="4351" width="5.7109375" style="989" customWidth="1"/>
    <col min="4352" max="4352" width="10.140625" style="989" customWidth="1"/>
    <col min="4353" max="4354" width="10.7109375" style="989" customWidth="1"/>
    <col min="4355" max="4355" width="10.5703125" style="989" customWidth="1"/>
    <col min="4356" max="4600" width="9.140625" style="989"/>
    <col min="4601" max="4601" width="4.7109375" style="989" customWidth="1"/>
    <col min="4602" max="4602" width="9.28515625" style="989" customWidth="1"/>
    <col min="4603" max="4603" width="9" style="989" customWidth="1"/>
    <col min="4604" max="4604" width="10.85546875" style="989" customWidth="1"/>
    <col min="4605" max="4605" width="52.7109375" style="989" customWidth="1"/>
    <col min="4606" max="4606" width="9.85546875" style="989" customWidth="1"/>
    <col min="4607" max="4607" width="5.7109375" style="989" customWidth="1"/>
    <col min="4608" max="4608" width="10.140625" style="989" customWidth="1"/>
    <col min="4609" max="4610" width="10.7109375" style="989" customWidth="1"/>
    <col min="4611" max="4611" width="10.5703125" style="989" customWidth="1"/>
    <col min="4612" max="4856" width="9.140625" style="989"/>
    <col min="4857" max="4857" width="4.7109375" style="989" customWidth="1"/>
    <col min="4858" max="4858" width="9.28515625" style="989" customWidth="1"/>
    <col min="4859" max="4859" width="9" style="989" customWidth="1"/>
    <col min="4860" max="4860" width="10.85546875" style="989" customWidth="1"/>
    <col min="4861" max="4861" width="52.7109375" style="989" customWidth="1"/>
    <col min="4862" max="4862" width="9.85546875" style="989" customWidth="1"/>
    <col min="4863" max="4863" width="5.7109375" style="989" customWidth="1"/>
    <col min="4864" max="4864" width="10.140625" style="989" customWidth="1"/>
    <col min="4865" max="4866" width="10.7109375" style="989" customWidth="1"/>
    <col min="4867" max="4867" width="10.5703125" style="989" customWidth="1"/>
    <col min="4868" max="5112" width="9.140625" style="989"/>
    <col min="5113" max="5113" width="4.7109375" style="989" customWidth="1"/>
    <col min="5114" max="5114" width="9.28515625" style="989" customWidth="1"/>
    <col min="5115" max="5115" width="9" style="989" customWidth="1"/>
    <col min="5116" max="5116" width="10.85546875" style="989" customWidth="1"/>
    <col min="5117" max="5117" width="52.7109375" style="989" customWidth="1"/>
    <col min="5118" max="5118" width="9.85546875" style="989" customWidth="1"/>
    <col min="5119" max="5119" width="5.7109375" style="989" customWidth="1"/>
    <col min="5120" max="5120" width="10.140625" style="989" customWidth="1"/>
    <col min="5121" max="5122" width="10.7109375" style="989" customWidth="1"/>
    <col min="5123" max="5123" width="10.5703125" style="989" customWidth="1"/>
    <col min="5124" max="5368" width="9.140625" style="989"/>
    <col min="5369" max="5369" width="4.7109375" style="989" customWidth="1"/>
    <col min="5370" max="5370" width="9.28515625" style="989" customWidth="1"/>
    <col min="5371" max="5371" width="9" style="989" customWidth="1"/>
    <col min="5372" max="5372" width="10.85546875" style="989" customWidth="1"/>
    <col min="5373" max="5373" width="52.7109375" style="989" customWidth="1"/>
    <col min="5374" max="5374" width="9.85546875" style="989" customWidth="1"/>
    <col min="5375" max="5375" width="5.7109375" style="989" customWidth="1"/>
    <col min="5376" max="5376" width="10.140625" style="989" customWidth="1"/>
    <col min="5377" max="5378" width="10.7109375" style="989" customWidth="1"/>
    <col min="5379" max="5379" width="10.5703125" style="989" customWidth="1"/>
    <col min="5380" max="5624" width="9.140625" style="989"/>
    <col min="5625" max="5625" width="4.7109375" style="989" customWidth="1"/>
    <col min="5626" max="5626" width="9.28515625" style="989" customWidth="1"/>
    <col min="5627" max="5627" width="9" style="989" customWidth="1"/>
    <col min="5628" max="5628" width="10.85546875" style="989" customWidth="1"/>
    <col min="5629" max="5629" width="52.7109375" style="989" customWidth="1"/>
    <col min="5630" max="5630" width="9.85546875" style="989" customWidth="1"/>
    <col min="5631" max="5631" width="5.7109375" style="989" customWidth="1"/>
    <col min="5632" max="5632" width="10.140625" style="989" customWidth="1"/>
    <col min="5633" max="5634" width="10.7109375" style="989" customWidth="1"/>
    <col min="5635" max="5635" width="10.5703125" style="989" customWidth="1"/>
    <col min="5636" max="5880" width="9.140625" style="989"/>
    <col min="5881" max="5881" width="4.7109375" style="989" customWidth="1"/>
    <col min="5882" max="5882" width="9.28515625" style="989" customWidth="1"/>
    <col min="5883" max="5883" width="9" style="989" customWidth="1"/>
    <col min="5884" max="5884" width="10.85546875" style="989" customWidth="1"/>
    <col min="5885" max="5885" width="52.7109375" style="989" customWidth="1"/>
    <col min="5886" max="5886" width="9.85546875" style="989" customWidth="1"/>
    <col min="5887" max="5887" width="5.7109375" style="989" customWidth="1"/>
    <col min="5888" max="5888" width="10.140625" style="989" customWidth="1"/>
    <col min="5889" max="5890" width="10.7109375" style="989" customWidth="1"/>
    <col min="5891" max="5891" width="10.5703125" style="989" customWidth="1"/>
    <col min="5892" max="6136" width="9.140625" style="989"/>
    <col min="6137" max="6137" width="4.7109375" style="989" customWidth="1"/>
    <col min="6138" max="6138" width="9.28515625" style="989" customWidth="1"/>
    <col min="6139" max="6139" width="9" style="989" customWidth="1"/>
    <col min="6140" max="6140" width="10.85546875" style="989" customWidth="1"/>
    <col min="6141" max="6141" width="52.7109375" style="989" customWidth="1"/>
    <col min="6142" max="6142" width="9.85546875" style="989" customWidth="1"/>
    <col min="6143" max="6143" width="5.7109375" style="989" customWidth="1"/>
    <col min="6144" max="6144" width="10.140625" style="989" customWidth="1"/>
    <col min="6145" max="6146" width="10.7109375" style="989" customWidth="1"/>
    <col min="6147" max="6147" width="10.5703125" style="989" customWidth="1"/>
    <col min="6148" max="6392" width="9.140625" style="989"/>
    <col min="6393" max="6393" width="4.7109375" style="989" customWidth="1"/>
    <col min="6394" max="6394" width="9.28515625" style="989" customWidth="1"/>
    <col min="6395" max="6395" width="9" style="989" customWidth="1"/>
    <col min="6396" max="6396" width="10.85546875" style="989" customWidth="1"/>
    <col min="6397" max="6397" width="52.7109375" style="989" customWidth="1"/>
    <col min="6398" max="6398" width="9.85546875" style="989" customWidth="1"/>
    <col min="6399" max="6399" width="5.7109375" style="989" customWidth="1"/>
    <col min="6400" max="6400" width="10.140625" style="989" customWidth="1"/>
    <col min="6401" max="6402" width="10.7109375" style="989" customWidth="1"/>
    <col min="6403" max="6403" width="10.5703125" style="989" customWidth="1"/>
    <col min="6404" max="6648" width="9.140625" style="989"/>
    <col min="6649" max="6649" width="4.7109375" style="989" customWidth="1"/>
    <col min="6650" max="6650" width="9.28515625" style="989" customWidth="1"/>
    <col min="6651" max="6651" width="9" style="989" customWidth="1"/>
    <col min="6652" max="6652" width="10.85546875" style="989" customWidth="1"/>
    <col min="6653" max="6653" width="52.7109375" style="989" customWidth="1"/>
    <col min="6654" max="6654" width="9.85546875" style="989" customWidth="1"/>
    <col min="6655" max="6655" width="5.7109375" style="989" customWidth="1"/>
    <col min="6656" max="6656" width="10.140625" style="989" customWidth="1"/>
    <col min="6657" max="6658" width="10.7109375" style="989" customWidth="1"/>
    <col min="6659" max="6659" width="10.5703125" style="989" customWidth="1"/>
    <col min="6660" max="6904" width="9.140625" style="989"/>
    <col min="6905" max="6905" width="4.7109375" style="989" customWidth="1"/>
    <col min="6906" max="6906" width="9.28515625" style="989" customWidth="1"/>
    <col min="6907" max="6907" width="9" style="989" customWidth="1"/>
    <col min="6908" max="6908" width="10.85546875" style="989" customWidth="1"/>
    <col min="6909" max="6909" width="52.7109375" style="989" customWidth="1"/>
    <col min="6910" max="6910" width="9.85546875" style="989" customWidth="1"/>
    <col min="6911" max="6911" width="5.7109375" style="989" customWidth="1"/>
    <col min="6912" max="6912" width="10.140625" style="989" customWidth="1"/>
    <col min="6913" max="6914" width="10.7109375" style="989" customWidth="1"/>
    <col min="6915" max="6915" width="10.5703125" style="989" customWidth="1"/>
    <col min="6916" max="7160" width="9.140625" style="989"/>
    <col min="7161" max="7161" width="4.7109375" style="989" customWidth="1"/>
    <col min="7162" max="7162" width="9.28515625" style="989" customWidth="1"/>
    <col min="7163" max="7163" width="9" style="989" customWidth="1"/>
    <col min="7164" max="7164" width="10.85546875" style="989" customWidth="1"/>
    <col min="7165" max="7165" width="52.7109375" style="989" customWidth="1"/>
    <col min="7166" max="7166" width="9.85546875" style="989" customWidth="1"/>
    <col min="7167" max="7167" width="5.7109375" style="989" customWidth="1"/>
    <col min="7168" max="7168" width="10.140625" style="989" customWidth="1"/>
    <col min="7169" max="7170" width="10.7109375" style="989" customWidth="1"/>
    <col min="7171" max="7171" width="10.5703125" style="989" customWidth="1"/>
    <col min="7172" max="7416" width="9.140625" style="989"/>
    <col min="7417" max="7417" width="4.7109375" style="989" customWidth="1"/>
    <col min="7418" max="7418" width="9.28515625" style="989" customWidth="1"/>
    <col min="7419" max="7419" width="9" style="989" customWidth="1"/>
    <col min="7420" max="7420" width="10.85546875" style="989" customWidth="1"/>
    <col min="7421" max="7421" width="52.7109375" style="989" customWidth="1"/>
    <col min="7422" max="7422" width="9.85546875" style="989" customWidth="1"/>
    <col min="7423" max="7423" width="5.7109375" style="989" customWidth="1"/>
    <col min="7424" max="7424" width="10.140625" style="989" customWidth="1"/>
    <col min="7425" max="7426" width="10.7109375" style="989" customWidth="1"/>
    <col min="7427" max="7427" width="10.5703125" style="989" customWidth="1"/>
    <col min="7428" max="7672" width="9.140625" style="989"/>
    <col min="7673" max="7673" width="4.7109375" style="989" customWidth="1"/>
    <col min="7674" max="7674" width="9.28515625" style="989" customWidth="1"/>
    <col min="7675" max="7675" width="9" style="989" customWidth="1"/>
    <col min="7676" max="7676" width="10.85546875" style="989" customWidth="1"/>
    <col min="7677" max="7677" width="52.7109375" style="989" customWidth="1"/>
    <col min="7678" max="7678" width="9.85546875" style="989" customWidth="1"/>
    <col min="7679" max="7679" width="5.7109375" style="989" customWidth="1"/>
    <col min="7680" max="7680" width="10.140625" style="989" customWidth="1"/>
    <col min="7681" max="7682" width="10.7109375" style="989" customWidth="1"/>
    <col min="7683" max="7683" width="10.5703125" style="989" customWidth="1"/>
    <col min="7684" max="7928" width="9.140625" style="989"/>
    <col min="7929" max="7929" width="4.7109375" style="989" customWidth="1"/>
    <col min="7930" max="7930" width="9.28515625" style="989" customWidth="1"/>
    <col min="7931" max="7931" width="9" style="989" customWidth="1"/>
    <col min="7932" max="7932" width="10.85546875" style="989" customWidth="1"/>
    <col min="7933" max="7933" width="52.7109375" style="989" customWidth="1"/>
    <col min="7934" max="7934" width="9.85546875" style="989" customWidth="1"/>
    <col min="7935" max="7935" width="5.7109375" style="989" customWidth="1"/>
    <col min="7936" max="7936" width="10.140625" style="989" customWidth="1"/>
    <col min="7937" max="7938" width="10.7109375" style="989" customWidth="1"/>
    <col min="7939" max="7939" width="10.5703125" style="989" customWidth="1"/>
    <col min="7940" max="8184" width="9.140625" style="989"/>
    <col min="8185" max="8185" width="4.7109375" style="989" customWidth="1"/>
    <col min="8186" max="8186" width="9.28515625" style="989" customWidth="1"/>
    <col min="8187" max="8187" width="9" style="989" customWidth="1"/>
    <col min="8188" max="8188" width="10.85546875" style="989" customWidth="1"/>
    <col min="8189" max="8189" width="52.7109375" style="989" customWidth="1"/>
    <col min="8190" max="8190" width="9.85546875" style="989" customWidth="1"/>
    <col min="8191" max="8191" width="5.7109375" style="989" customWidth="1"/>
    <col min="8192" max="8192" width="10.140625" style="989" customWidth="1"/>
    <col min="8193" max="8194" width="10.7109375" style="989" customWidth="1"/>
    <col min="8195" max="8195" width="10.5703125" style="989" customWidth="1"/>
    <col min="8196" max="8440" width="9.140625" style="989"/>
    <col min="8441" max="8441" width="4.7109375" style="989" customWidth="1"/>
    <col min="8442" max="8442" width="9.28515625" style="989" customWidth="1"/>
    <col min="8443" max="8443" width="9" style="989" customWidth="1"/>
    <col min="8444" max="8444" width="10.85546875" style="989" customWidth="1"/>
    <col min="8445" max="8445" width="52.7109375" style="989" customWidth="1"/>
    <col min="8446" max="8446" width="9.85546875" style="989" customWidth="1"/>
    <col min="8447" max="8447" width="5.7109375" style="989" customWidth="1"/>
    <col min="8448" max="8448" width="10.140625" style="989" customWidth="1"/>
    <col min="8449" max="8450" width="10.7109375" style="989" customWidth="1"/>
    <col min="8451" max="8451" width="10.5703125" style="989" customWidth="1"/>
    <col min="8452" max="8696" width="9.140625" style="989"/>
    <col min="8697" max="8697" width="4.7109375" style="989" customWidth="1"/>
    <col min="8698" max="8698" width="9.28515625" style="989" customWidth="1"/>
    <col min="8699" max="8699" width="9" style="989" customWidth="1"/>
    <col min="8700" max="8700" width="10.85546875" style="989" customWidth="1"/>
    <col min="8701" max="8701" width="52.7109375" style="989" customWidth="1"/>
    <col min="8702" max="8702" width="9.85546875" style="989" customWidth="1"/>
    <col min="8703" max="8703" width="5.7109375" style="989" customWidth="1"/>
    <col min="8704" max="8704" width="10.140625" style="989" customWidth="1"/>
    <col min="8705" max="8706" width="10.7109375" style="989" customWidth="1"/>
    <col min="8707" max="8707" width="10.5703125" style="989" customWidth="1"/>
    <col min="8708" max="8952" width="9.140625" style="989"/>
    <col min="8953" max="8953" width="4.7109375" style="989" customWidth="1"/>
    <col min="8954" max="8954" width="9.28515625" style="989" customWidth="1"/>
    <col min="8955" max="8955" width="9" style="989" customWidth="1"/>
    <col min="8956" max="8956" width="10.85546875" style="989" customWidth="1"/>
    <col min="8957" max="8957" width="52.7109375" style="989" customWidth="1"/>
    <col min="8958" max="8958" width="9.85546875" style="989" customWidth="1"/>
    <col min="8959" max="8959" width="5.7109375" style="989" customWidth="1"/>
    <col min="8960" max="8960" width="10.140625" style="989" customWidth="1"/>
    <col min="8961" max="8962" width="10.7109375" style="989" customWidth="1"/>
    <col min="8963" max="8963" width="10.5703125" style="989" customWidth="1"/>
    <col min="8964" max="9208" width="9.140625" style="989"/>
    <col min="9209" max="9209" width="4.7109375" style="989" customWidth="1"/>
    <col min="9210" max="9210" width="9.28515625" style="989" customWidth="1"/>
    <col min="9211" max="9211" width="9" style="989" customWidth="1"/>
    <col min="9212" max="9212" width="10.85546875" style="989" customWidth="1"/>
    <col min="9213" max="9213" width="52.7109375" style="989" customWidth="1"/>
    <col min="9214" max="9214" width="9.85546875" style="989" customWidth="1"/>
    <col min="9215" max="9215" width="5.7109375" style="989" customWidth="1"/>
    <col min="9216" max="9216" width="10.140625" style="989" customWidth="1"/>
    <col min="9217" max="9218" width="10.7109375" style="989" customWidth="1"/>
    <col min="9219" max="9219" width="10.5703125" style="989" customWidth="1"/>
    <col min="9220" max="9464" width="9.140625" style="989"/>
    <col min="9465" max="9465" width="4.7109375" style="989" customWidth="1"/>
    <col min="9466" max="9466" width="9.28515625" style="989" customWidth="1"/>
    <col min="9467" max="9467" width="9" style="989" customWidth="1"/>
    <col min="9468" max="9468" width="10.85546875" style="989" customWidth="1"/>
    <col min="9469" max="9469" width="52.7109375" style="989" customWidth="1"/>
    <col min="9470" max="9470" width="9.85546875" style="989" customWidth="1"/>
    <col min="9471" max="9471" width="5.7109375" style="989" customWidth="1"/>
    <col min="9472" max="9472" width="10.140625" style="989" customWidth="1"/>
    <col min="9473" max="9474" width="10.7109375" style="989" customWidth="1"/>
    <col min="9475" max="9475" width="10.5703125" style="989" customWidth="1"/>
    <col min="9476" max="9720" width="9.140625" style="989"/>
    <col min="9721" max="9721" width="4.7109375" style="989" customWidth="1"/>
    <col min="9722" max="9722" width="9.28515625" style="989" customWidth="1"/>
    <col min="9723" max="9723" width="9" style="989" customWidth="1"/>
    <col min="9724" max="9724" width="10.85546875" style="989" customWidth="1"/>
    <col min="9725" max="9725" width="52.7109375" style="989" customWidth="1"/>
    <col min="9726" max="9726" width="9.85546875" style="989" customWidth="1"/>
    <col min="9727" max="9727" width="5.7109375" style="989" customWidth="1"/>
    <col min="9728" max="9728" width="10.140625" style="989" customWidth="1"/>
    <col min="9729" max="9730" width="10.7109375" style="989" customWidth="1"/>
    <col min="9731" max="9731" width="10.5703125" style="989" customWidth="1"/>
    <col min="9732" max="9976" width="9.140625" style="989"/>
    <col min="9977" max="9977" width="4.7109375" style="989" customWidth="1"/>
    <col min="9978" max="9978" width="9.28515625" style="989" customWidth="1"/>
    <col min="9979" max="9979" width="9" style="989" customWidth="1"/>
    <col min="9980" max="9980" width="10.85546875" style="989" customWidth="1"/>
    <col min="9981" max="9981" width="52.7109375" style="989" customWidth="1"/>
    <col min="9982" max="9982" width="9.85546875" style="989" customWidth="1"/>
    <col min="9983" max="9983" width="5.7109375" style="989" customWidth="1"/>
    <col min="9984" max="9984" width="10.140625" style="989" customWidth="1"/>
    <col min="9985" max="9986" width="10.7109375" style="989" customWidth="1"/>
    <col min="9987" max="9987" width="10.5703125" style="989" customWidth="1"/>
    <col min="9988" max="10232" width="9.140625" style="989"/>
    <col min="10233" max="10233" width="4.7109375" style="989" customWidth="1"/>
    <col min="10234" max="10234" width="9.28515625" style="989" customWidth="1"/>
    <col min="10235" max="10235" width="9" style="989" customWidth="1"/>
    <col min="10236" max="10236" width="10.85546875" style="989" customWidth="1"/>
    <col min="10237" max="10237" width="52.7109375" style="989" customWidth="1"/>
    <col min="10238" max="10238" width="9.85546875" style="989" customWidth="1"/>
    <col min="10239" max="10239" width="5.7109375" style="989" customWidth="1"/>
    <col min="10240" max="10240" width="10.140625" style="989" customWidth="1"/>
    <col min="10241" max="10242" width="10.7109375" style="989" customWidth="1"/>
    <col min="10243" max="10243" width="10.5703125" style="989" customWidth="1"/>
    <col min="10244" max="10488" width="9.140625" style="989"/>
    <col min="10489" max="10489" width="4.7109375" style="989" customWidth="1"/>
    <col min="10490" max="10490" width="9.28515625" style="989" customWidth="1"/>
    <col min="10491" max="10491" width="9" style="989" customWidth="1"/>
    <col min="10492" max="10492" width="10.85546875" style="989" customWidth="1"/>
    <col min="10493" max="10493" width="52.7109375" style="989" customWidth="1"/>
    <col min="10494" max="10494" width="9.85546875" style="989" customWidth="1"/>
    <col min="10495" max="10495" width="5.7109375" style="989" customWidth="1"/>
    <col min="10496" max="10496" width="10.140625" style="989" customWidth="1"/>
    <col min="10497" max="10498" width="10.7109375" style="989" customWidth="1"/>
    <col min="10499" max="10499" width="10.5703125" style="989" customWidth="1"/>
    <col min="10500" max="10744" width="9.140625" style="989"/>
    <col min="10745" max="10745" width="4.7109375" style="989" customWidth="1"/>
    <col min="10746" max="10746" width="9.28515625" style="989" customWidth="1"/>
    <col min="10747" max="10747" width="9" style="989" customWidth="1"/>
    <col min="10748" max="10748" width="10.85546875" style="989" customWidth="1"/>
    <col min="10749" max="10749" width="52.7109375" style="989" customWidth="1"/>
    <col min="10750" max="10750" width="9.85546875" style="989" customWidth="1"/>
    <col min="10751" max="10751" width="5.7109375" style="989" customWidth="1"/>
    <col min="10752" max="10752" width="10.140625" style="989" customWidth="1"/>
    <col min="10753" max="10754" width="10.7109375" style="989" customWidth="1"/>
    <col min="10755" max="10755" width="10.5703125" style="989" customWidth="1"/>
    <col min="10756" max="11000" width="9.140625" style="989"/>
    <col min="11001" max="11001" width="4.7109375" style="989" customWidth="1"/>
    <col min="11002" max="11002" width="9.28515625" style="989" customWidth="1"/>
    <col min="11003" max="11003" width="9" style="989" customWidth="1"/>
    <col min="11004" max="11004" width="10.85546875" style="989" customWidth="1"/>
    <col min="11005" max="11005" width="52.7109375" style="989" customWidth="1"/>
    <col min="11006" max="11006" width="9.85546875" style="989" customWidth="1"/>
    <col min="11007" max="11007" width="5.7109375" style="989" customWidth="1"/>
    <col min="11008" max="11008" width="10.140625" style="989" customWidth="1"/>
    <col min="11009" max="11010" width="10.7109375" style="989" customWidth="1"/>
    <col min="11011" max="11011" width="10.5703125" style="989" customWidth="1"/>
    <col min="11012" max="11256" width="9.140625" style="989"/>
    <col min="11257" max="11257" width="4.7109375" style="989" customWidth="1"/>
    <col min="11258" max="11258" width="9.28515625" style="989" customWidth="1"/>
    <col min="11259" max="11259" width="9" style="989" customWidth="1"/>
    <col min="11260" max="11260" width="10.85546875" style="989" customWidth="1"/>
    <col min="11261" max="11261" width="52.7109375" style="989" customWidth="1"/>
    <col min="11262" max="11262" width="9.85546875" style="989" customWidth="1"/>
    <col min="11263" max="11263" width="5.7109375" style="989" customWidth="1"/>
    <col min="11264" max="11264" width="10.140625" style="989" customWidth="1"/>
    <col min="11265" max="11266" width="10.7109375" style="989" customWidth="1"/>
    <col min="11267" max="11267" width="10.5703125" style="989" customWidth="1"/>
    <col min="11268" max="11512" width="9.140625" style="989"/>
    <col min="11513" max="11513" width="4.7109375" style="989" customWidth="1"/>
    <col min="11514" max="11514" width="9.28515625" style="989" customWidth="1"/>
    <col min="11515" max="11515" width="9" style="989" customWidth="1"/>
    <col min="11516" max="11516" width="10.85546875" style="989" customWidth="1"/>
    <col min="11517" max="11517" width="52.7109375" style="989" customWidth="1"/>
    <col min="11518" max="11518" width="9.85546875" style="989" customWidth="1"/>
    <col min="11519" max="11519" width="5.7109375" style="989" customWidth="1"/>
    <col min="11520" max="11520" width="10.140625" style="989" customWidth="1"/>
    <col min="11521" max="11522" width="10.7109375" style="989" customWidth="1"/>
    <col min="11523" max="11523" width="10.5703125" style="989" customWidth="1"/>
    <col min="11524" max="11768" width="9.140625" style="989"/>
    <col min="11769" max="11769" width="4.7109375" style="989" customWidth="1"/>
    <col min="11770" max="11770" width="9.28515625" style="989" customWidth="1"/>
    <col min="11771" max="11771" width="9" style="989" customWidth="1"/>
    <col min="11772" max="11772" width="10.85546875" style="989" customWidth="1"/>
    <col min="11773" max="11773" width="52.7109375" style="989" customWidth="1"/>
    <col min="11774" max="11774" width="9.85546875" style="989" customWidth="1"/>
    <col min="11775" max="11775" width="5.7109375" style="989" customWidth="1"/>
    <col min="11776" max="11776" width="10.140625" style="989" customWidth="1"/>
    <col min="11777" max="11778" width="10.7109375" style="989" customWidth="1"/>
    <col min="11779" max="11779" width="10.5703125" style="989" customWidth="1"/>
    <col min="11780" max="12024" width="9.140625" style="989"/>
    <col min="12025" max="12025" width="4.7109375" style="989" customWidth="1"/>
    <col min="12026" max="12026" width="9.28515625" style="989" customWidth="1"/>
    <col min="12027" max="12027" width="9" style="989" customWidth="1"/>
    <col min="12028" max="12028" width="10.85546875" style="989" customWidth="1"/>
    <col min="12029" max="12029" width="52.7109375" style="989" customWidth="1"/>
    <col min="12030" max="12030" width="9.85546875" style="989" customWidth="1"/>
    <col min="12031" max="12031" width="5.7109375" style="989" customWidth="1"/>
    <col min="12032" max="12032" width="10.140625" style="989" customWidth="1"/>
    <col min="12033" max="12034" width="10.7109375" style="989" customWidth="1"/>
    <col min="12035" max="12035" width="10.5703125" style="989" customWidth="1"/>
    <col min="12036" max="12280" width="9.140625" style="989"/>
    <col min="12281" max="12281" width="4.7109375" style="989" customWidth="1"/>
    <col min="12282" max="12282" width="9.28515625" style="989" customWidth="1"/>
    <col min="12283" max="12283" width="9" style="989" customWidth="1"/>
    <col min="12284" max="12284" width="10.85546875" style="989" customWidth="1"/>
    <col min="12285" max="12285" width="52.7109375" style="989" customWidth="1"/>
    <col min="12286" max="12286" width="9.85546875" style="989" customWidth="1"/>
    <col min="12287" max="12287" width="5.7109375" style="989" customWidth="1"/>
    <col min="12288" max="12288" width="10.140625" style="989" customWidth="1"/>
    <col min="12289" max="12290" width="10.7109375" style="989" customWidth="1"/>
    <col min="12291" max="12291" width="10.5703125" style="989" customWidth="1"/>
    <col min="12292" max="12536" width="9.140625" style="989"/>
    <col min="12537" max="12537" width="4.7109375" style="989" customWidth="1"/>
    <col min="12538" max="12538" width="9.28515625" style="989" customWidth="1"/>
    <col min="12539" max="12539" width="9" style="989" customWidth="1"/>
    <col min="12540" max="12540" width="10.85546875" style="989" customWidth="1"/>
    <col min="12541" max="12541" width="52.7109375" style="989" customWidth="1"/>
    <col min="12542" max="12542" width="9.85546875" style="989" customWidth="1"/>
    <col min="12543" max="12543" width="5.7109375" style="989" customWidth="1"/>
    <col min="12544" max="12544" width="10.140625" style="989" customWidth="1"/>
    <col min="12545" max="12546" width="10.7109375" style="989" customWidth="1"/>
    <col min="12547" max="12547" width="10.5703125" style="989" customWidth="1"/>
    <col min="12548" max="12792" width="9.140625" style="989"/>
    <col min="12793" max="12793" width="4.7109375" style="989" customWidth="1"/>
    <col min="12794" max="12794" width="9.28515625" style="989" customWidth="1"/>
    <col min="12795" max="12795" width="9" style="989" customWidth="1"/>
    <col min="12796" max="12796" width="10.85546875" style="989" customWidth="1"/>
    <col min="12797" max="12797" width="52.7109375" style="989" customWidth="1"/>
    <col min="12798" max="12798" width="9.85546875" style="989" customWidth="1"/>
    <col min="12799" max="12799" width="5.7109375" style="989" customWidth="1"/>
    <col min="12800" max="12800" width="10.140625" style="989" customWidth="1"/>
    <col min="12801" max="12802" width="10.7109375" style="989" customWidth="1"/>
    <col min="12803" max="12803" width="10.5703125" style="989" customWidth="1"/>
    <col min="12804" max="13048" width="9.140625" style="989"/>
    <col min="13049" max="13049" width="4.7109375" style="989" customWidth="1"/>
    <col min="13050" max="13050" width="9.28515625" style="989" customWidth="1"/>
    <col min="13051" max="13051" width="9" style="989" customWidth="1"/>
    <col min="13052" max="13052" width="10.85546875" style="989" customWidth="1"/>
    <col min="13053" max="13053" width="52.7109375" style="989" customWidth="1"/>
    <col min="13054" max="13054" width="9.85546875" style="989" customWidth="1"/>
    <col min="13055" max="13055" width="5.7109375" style="989" customWidth="1"/>
    <col min="13056" max="13056" width="10.140625" style="989" customWidth="1"/>
    <col min="13057" max="13058" width="10.7109375" style="989" customWidth="1"/>
    <col min="13059" max="13059" width="10.5703125" style="989" customWidth="1"/>
    <col min="13060" max="13304" width="9.140625" style="989"/>
    <col min="13305" max="13305" width="4.7109375" style="989" customWidth="1"/>
    <col min="13306" max="13306" width="9.28515625" style="989" customWidth="1"/>
    <col min="13307" max="13307" width="9" style="989" customWidth="1"/>
    <col min="13308" max="13308" width="10.85546875" style="989" customWidth="1"/>
    <col min="13309" max="13309" width="52.7109375" style="989" customWidth="1"/>
    <col min="13310" max="13310" width="9.85546875" style="989" customWidth="1"/>
    <col min="13311" max="13311" width="5.7109375" style="989" customWidth="1"/>
    <col min="13312" max="13312" width="10.140625" style="989" customWidth="1"/>
    <col min="13313" max="13314" width="10.7109375" style="989" customWidth="1"/>
    <col min="13315" max="13315" width="10.5703125" style="989" customWidth="1"/>
    <col min="13316" max="13560" width="9.140625" style="989"/>
    <col min="13561" max="13561" width="4.7109375" style="989" customWidth="1"/>
    <col min="13562" max="13562" width="9.28515625" style="989" customWidth="1"/>
    <col min="13563" max="13563" width="9" style="989" customWidth="1"/>
    <col min="13564" max="13564" width="10.85546875" style="989" customWidth="1"/>
    <col min="13565" max="13565" width="52.7109375" style="989" customWidth="1"/>
    <col min="13566" max="13566" width="9.85546875" style="989" customWidth="1"/>
    <col min="13567" max="13567" width="5.7109375" style="989" customWidth="1"/>
    <col min="13568" max="13568" width="10.140625" style="989" customWidth="1"/>
    <col min="13569" max="13570" width="10.7109375" style="989" customWidth="1"/>
    <col min="13571" max="13571" width="10.5703125" style="989" customWidth="1"/>
    <col min="13572" max="13816" width="9.140625" style="989"/>
    <col min="13817" max="13817" width="4.7109375" style="989" customWidth="1"/>
    <col min="13818" max="13818" width="9.28515625" style="989" customWidth="1"/>
    <col min="13819" max="13819" width="9" style="989" customWidth="1"/>
    <col min="13820" max="13820" width="10.85546875" style="989" customWidth="1"/>
    <col min="13821" max="13821" width="52.7109375" style="989" customWidth="1"/>
    <col min="13822" max="13822" width="9.85546875" style="989" customWidth="1"/>
    <col min="13823" max="13823" width="5.7109375" style="989" customWidth="1"/>
    <col min="13824" max="13824" width="10.140625" style="989" customWidth="1"/>
    <col min="13825" max="13826" width="10.7109375" style="989" customWidth="1"/>
    <col min="13827" max="13827" width="10.5703125" style="989" customWidth="1"/>
    <col min="13828" max="14072" width="9.140625" style="989"/>
    <col min="14073" max="14073" width="4.7109375" style="989" customWidth="1"/>
    <col min="14074" max="14074" width="9.28515625" style="989" customWidth="1"/>
    <col min="14075" max="14075" width="9" style="989" customWidth="1"/>
    <col min="14076" max="14076" width="10.85546875" style="989" customWidth="1"/>
    <col min="14077" max="14077" width="52.7109375" style="989" customWidth="1"/>
    <col min="14078" max="14078" width="9.85546875" style="989" customWidth="1"/>
    <col min="14079" max="14079" width="5.7109375" style="989" customWidth="1"/>
    <col min="14080" max="14080" width="10.140625" style="989" customWidth="1"/>
    <col min="14081" max="14082" width="10.7109375" style="989" customWidth="1"/>
    <col min="14083" max="14083" width="10.5703125" style="989" customWidth="1"/>
    <col min="14084" max="14328" width="9.140625" style="989"/>
    <col min="14329" max="14329" width="4.7109375" style="989" customWidth="1"/>
    <col min="14330" max="14330" width="9.28515625" style="989" customWidth="1"/>
    <col min="14331" max="14331" width="9" style="989" customWidth="1"/>
    <col min="14332" max="14332" width="10.85546875" style="989" customWidth="1"/>
    <col min="14333" max="14333" width="52.7109375" style="989" customWidth="1"/>
    <col min="14334" max="14334" width="9.85546875" style="989" customWidth="1"/>
    <col min="14335" max="14335" width="5.7109375" style="989" customWidth="1"/>
    <col min="14336" max="14336" width="10.140625" style="989" customWidth="1"/>
    <col min="14337" max="14338" width="10.7109375" style="989" customWidth="1"/>
    <col min="14339" max="14339" width="10.5703125" style="989" customWidth="1"/>
    <col min="14340" max="14584" width="9.140625" style="989"/>
    <col min="14585" max="14585" width="4.7109375" style="989" customWidth="1"/>
    <col min="14586" max="14586" width="9.28515625" style="989" customWidth="1"/>
    <col min="14587" max="14587" width="9" style="989" customWidth="1"/>
    <col min="14588" max="14588" width="10.85546875" style="989" customWidth="1"/>
    <col min="14589" max="14589" width="52.7109375" style="989" customWidth="1"/>
    <col min="14590" max="14590" width="9.85546875" style="989" customWidth="1"/>
    <col min="14591" max="14591" width="5.7109375" style="989" customWidth="1"/>
    <col min="14592" max="14592" width="10.140625" style="989" customWidth="1"/>
    <col min="14593" max="14594" width="10.7109375" style="989" customWidth="1"/>
    <col min="14595" max="14595" width="10.5703125" style="989" customWidth="1"/>
    <col min="14596" max="14840" width="9.140625" style="989"/>
    <col min="14841" max="14841" width="4.7109375" style="989" customWidth="1"/>
    <col min="14842" max="14842" width="9.28515625" style="989" customWidth="1"/>
    <col min="14843" max="14843" width="9" style="989" customWidth="1"/>
    <col min="14844" max="14844" width="10.85546875" style="989" customWidth="1"/>
    <col min="14845" max="14845" width="52.7109375" style="989" customWidth="1"/>
    <col min="14846" max="14846" width="9.85546875" style="989" customWidth="1"/>
    <col min="14847" max="14847" width="5.7109375" style="989" customWidth="1"/>
    <col min="14848" max="14848" width="10.140625" style="989" customWidth="1"/>
    <col min="14849" max="14850" width="10.7109375" style="989" customWidth="1"/>
    <col min="14851" max="14851" width="10.5703125" style="989" customWidth="1"/>
    <col min="14852" max="15096" width="9.140625" style="989"/>
    <col min="15097" max="15097" width="4.7109375" style="989" customWidth="1"/>
    <col min="15098" max="15098" width="9.28515625" style="989" customWidth="1"/>
    <col min="15099" max="15099" width="9" style="989" customWidth="1"/>
    <col min="15100" max="15100" width="10.85546875" style="989" customWidth="1"/>
    <col min="15101" max="15101" width="52.7109375" style="989" customWidth="1"/>
    <col min="15102" max="15102" width="9.85546875" style="989" customWidth="1"/>
    <col min="15103" max="15103" width="5.7109375" style="989" customWidth="1"/>
    <col min="15104" max="15104" width="10.140625" style="989" customWidth="1"/>
    <col min="15105" max="15106" width="10.7109375" style="989" customWidth="1"/>
    <col min="15107" max="15107" width="10.5703125" style="989" customWidth="1"/>
    <col min="15108" max="15352" width="9.140625" style="989"/>
    <col min="15353" max="15353" width="4.7109375" style="989" customWidth="1"/>
    <col min="15354" max="15354" width="9.28515625" style="989" customWidth="1"/>
    <col min="15355" max="15355" width="9" style="989" customWidth="1"/>
    <col min="15356" max="15356" width="10.85546875" style="989" customWidth="1"/>
    <col min="15357" max="15357" width="52.7109375" style="989" customWidth="1"/>
    <col min="15358" max="15358" width="9.85546875" style="989" customWidth="1"/>
    <col min="15359" max="15359" width="5.7109375" style="989" customWidth="1"/>
    <col min="15360" max="15360" width="10.140625" style="989" customWidth="1"/>
    <col min="15361" max="15362" width="10.7109375" style="989" customWidth="1"/>
    <col min="15363" max="15363" width="10.5703125" style="989" customWidth="1"/>
    <col min="15364" max="15608" width="9.140625" style="989"/>
    <col min="15609" max="15609" width="4.7109375" style="989" customWidth="1"/>
    <col min="15610" max="15610" width="9.28515625" style="989" customWidth="1"/>
    <col min="15611" max="15611" width="9" style="989" customWidth="1"/>
    <col min="15612" max="15612" width="10.85546875" style="989" customWidth="1"/>
    <col min="15613" max="15613" width="52.7109375" style="989" customWidth="1"/>
    <col min="15614" max="15614" width="9.85546875" style="989" customWidth="1"/>
    <col min="15615" max="15615" width="5.7109375" style="989" customWidth="1"/>
    <col min="15616" max="15616" width="10.140625" style="989" customWidth="1"/>
    <col min="15617" max="15618" width="10.7109375" style="989" customWidth="1"/>
    <col min="15619" max="15619" width="10.5703125" style="989" customWidth="1"/>
    <col min="15620" max="15864" width="9.140625" style="989"/>
    <col min="15865" max="15865" width="4.7109375" style="989" customWidth="1"/>
    <col min="15866" max="15866" width="9.28515625" style="989" customWidth="1"/>
    <col min="15867" max="15867" width="9" style="989" customWidth="1"/>
    <col min="15868" max="15868" width="10.85546875" style="989" customWidth="1"/>
    <col min="15869" max="15869" width="52.7109375" style="989" customWidth="1"/>
    <col min="15870" max="15870" width="9.85546875" style="989" customWidth="1"/>
    <col min="15871" max="15871" width="5.7109375" style="989" customWidth="1"/>
    <col min="15872" max="15872" width="10.140625" style="989" customWidth="1"/>
    <col min="15873" max="15874" width="10.7109375" style="989" customWidth="1"/>
    <col min="15875" max="15875" width="10.5703125" style="989" customWidth="1"/>
    <col min="15876" max="16120" width="9.140625" style="989"/>
    <col min="16121" max="16121" width="4.7109375" style="989" customWidth="1"/>
    <col min="16122" max="16122" width="9.28515625" style="989" customWidth="1"/>
    <col min="16123" max="16123" width="9" style="989" customWidth="1"/>
    <col min="16124" max="16124" width="10.85546875" style="989" customWidth="1"/>
    <col min="16125" max="16125" width="52.7109375" style="989" customWidth="1"/>
    <col min="16126" max="16126" width="9.85546875" style="989" customWidth="1"/>
    <col min="16127" max="16127" width="5.7109375" style="989" customWidth="1"/>
    <col min="16128" max="16128" width="10.140625" style="989" customWidth="1"/>
    <col min="16129" max="16130" width="10.7109375" style="989" customWidth="1"/>
    <col min="16131" max="16131" width="10.5703125" style="989" customWidth="1"/>
    <col min="16132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2524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3" t="s">
        <v>3</v>
      </c>
      <c r="B3" s="1354"/>
      <c r="C3" s="1354"/>
      <c r="D3" s="1047"/>
      <c r="E3" s="1355" t="s">
        <v>4</v>
      </c>
      <c r="F3" s="1356"/>
      <c r="G3" s="1359" t="s">
        <v>5</v>
      </c>
      <c r="H3" s="1361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57"/>
      <c r="F4" s="1358"/>
      <c r="G4" s="1360"/>
      <c r="H4" s="1362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10.200000000000003</v>
      </c>
    </row>
    <row r="9" spans="1:8" ht="14.25">
      <c r="A9" s="34"/>
      <c r="B9" s="464"/>
      <c r="C9" s="36"/>
      <c r="D9" s="37"/>
      <c r="E9" s="38"/>
      <c r="F9" s="46">
        <f>F31</f>
        <v>10.200000000000003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74</v>
      </c>
      <c r="D13" s="599"/>
      <c r="E13" s="496" t="s">
        <v>75</v>
      </c>
      <c r="F13" s="779"/>
      <c r="G13" s="780" t="s">
        <v>18</v>
      </c>
      <c r="H13" s="540">
        <v>1.01</v>
      </c>
    </row>
    <row r="14" spans="1:8">
      <c r="A14" s="1063"/>
      <c r="B14" s="1064"/>
      <c r="C14" s="957"/>
      <c r="D14" s="300" t="s">
        <v>76</v>
      </c>
      <c r="E14" s="297" t="s">
        <v>77</v>
      </c>
      <c r="F14" s="958"/>
      <c r="G14" s="959" t="s">
        <v>18</v>
      </c>
      <c r="H14" s="541">
        <v>1.01</v>
      </c>
    </row>
    <row r="15" spans="1:8">
      <c r="A15" s="1063"/>
      <c r="B15" s="1064"/>
      <c r="C15" s="957"/>
      <c r="D15" s="300"/>
      <c r="E15" s="783" t="s">
        <v>2525</v>
      </c>
      <c r="F15" s="229">
        <v>1.01</v>
      </c>
      <c r="G15" s="959"/>
      <c r="H15" s="541"/>
    </row>
    <row r="16" spans="1:8">
      <c r="A16" s="1063"/>
      <c r="B16" s="1064"/>
      <c r="C16" s="957"/>
      <c r="D16" s="300"/>
      <c r="E16" s="1065"/>
      <c r="F16" s="958"/>
      <c r="G16" s="959"/>
      <c r="H16" s="541"/>
    </row>
    <row r="17" spans="1:8">
      <c r="A17" s="34">
        <f>MAX(A$1:A13)+1</f>
        <v>3</v>
      </c>
      <c r="B17" s="1066"/>
      <c r="C17" s="956" t="s">
        <v>158</v>
      </c>
      <c r="D17" s="599"/>
      <c r="E17" s="496" t="s">
        <v>159</v>
      </c>
      <c r="F17" s="779"/>
      <c r="G17" s="780" t="s">
        <v>18</v>
      </c>
      <c r="H17" s="540">
        <v>20.010000000000002</v>
      </c>
    </row>
    <row r="18" spans="1:8">
      <c r="A18" s="963"/>
      <c r="B18" s="600"/>
      <c r="C18" s="957"/>
      <c r="D18" s="300" t="s">
        <v>160</v>
      </c>
      <c r="E18" s="297" t="s">
        <v>161</v>
      </c>
      <c r="F18" s="958"/>
      <c r="G18" s="959" t="s">
        <v>18</v>
      </c>
      <c r="H18" s="542">
        <v>20.010000000000002</v>
      </c>
    </row>
    <row r="19" spans="1:8">
      <c r="A19" s="963"/>
      <c r="B19" s="600"/>
      <c r="C19" s="957"/>
      <c r="D19" s="300"/>
      <c r="E19" s="783" t="s">
        <v>2526</v>
      </c>
      <c r="F19" s="229">
        <v>20.010000000000002</v>
      </c>
      <c r="G19" s="959"/>
      <c r="H19" s="542"/>
    </row>
    <row r="20" spans="1:8">
      <c r="A20" s="963"/>
      <c r="B20" s="600"/>
      <c r="C20" s="957"/>
      <c r="D20" s="300"/>
      <c r="E20" s="783"/>
      <c r="F20" s="229"/>
      <c r="G20" s="959"/>
      <c r="H20" s="542"/>
    </row>
    <row r="21" spans="1:8" ht="51">
      <c r="A21" s="963"/>
      <c r="B21" s="600"/>
      <c r="C21" s="957"/>
      <c r="D21" s="300"/>
      <c r="E21" s="783" t="s">
        <v>2443</v>
      </c>
      <c r="F21" s="229"/>
      <c r="G21" s="959"/>
      <c r="H21" s="542"/>
    </row>
    <row r="22" spans="1:8">
      <c r="A22" s="963"/>
      <c r="B22" s="1067"/>
      <c r="C22" s="957"/>
      <c r="D22" s="300"/>
      <c r="E22" s="774"/>
      <c r="F22" s="958"/>
      <c r="G22" s="959"/>
      <c r="H22" s="542"/>
    </row>
    <row r="23" spans="1:8">
      <c r="A23" s="34">
        <f>MAX(A$1:A21)+1</f>
        <v>4</v>
      </c>
      <c r="B23" s="1068"/>
      <c r="C23" s="1115" t="s">
        <v>162</v>
      </c>
      <c r="D23" s="1170"/>
      <c r="E23" s="496" t="s">
        <v>163</v>
      </c>
      <c r="F23" s="955"/>
      <c r="G23" s="1171" t="s">
        <v>18</v>
      </c>
      <c r="H23" s="540">
        <v>5.38</v>
      </c>
    </row>
    <row r="24" spans="1:8">
      <c r="A24" s="1114"/>
      <c r="B24" s="1172"/>
      <c r="C24" s="1173"/>
      <c r="D24" s="300" t="s">
        <v>164</v>
      </c>
      <c r="E24" s="297" t="s">
        <v>165</v>
      </c>
      <c r="F24" s="775"/>
      <c r="G24" s="959" t="s">
        <v>18</v>
      </c>
      <c r="H24" s="542">
        <v>5.38</v>
      </c>
    </row>
    <row r="25" spans="1:8">
      <c r="A25" s="1114"/>
      <c r="B25" s="1068"/>
      <c r="C25" s="1115"/>
      <c r="D25" s="1116"/>
      <c r="E25" s="783" t="s">
        <v>2527</v>
      </c>
      <c r="F25" s="229">
        <v>5.38</v>
      </c>
      <c r="G25" s="1118"/>
      <c r="H25" s="545"/>
    </row>
    <row r="26" spans="1:8">
      <c r="A26" s="1114"/>
      <c r="B26" s="1068"/>
      <c r="C26" s="1115"/>
      <c r="D26" s="1116"/>
      <c r="E26" s="1098"/>
      <c r="F26" s="990"/>
      <c r="G26" s="1118"/>
      <c r="H26" s="545"/>
    </row>
    <row r="27" spans="1:8" ht="51">
      <c r="A27" s="1114"/>
      <c r="B27" s="1068"/>
      <c r="C27" s="1115"/>
      <c r="D27" s="1116"/>
      <c r="E27" s="783" t="s">
        <v>2443</v>
      </c>
      <c r="F27" s="990"/>
      <c r="G27" s="1118"/>
      <c r="H27" s="545"/>
    </row>
    <row r="28" spans="1:8">
      <c r="A28" s="1114"/>
      <c r="B28" s="1068"/>
      <c r="C28" s="1115"/>
      <c r="D28" s="1116"/>
      <c r="E28" s="774"/>
      <c r="F28" s="775"/>
      <c r="G28" s="1118"/>
      <c r="H28" s="545"/>
    </row>
    <row r="29" spans="1:8">
      <c r="A29" s="334">
        <f>MAX(A$1:A28)+1</f>
        <v>5</v>
      </c>
      <c r="B29" s="960"/>
      <c r="C29" s="956" t="s">
        <v>58</v>
      </c>
      <c r="D29" s="599"/>
      <c r="E29" s="496" t="s">
        <v>59</v>
      </c>
      <c r="F29" s="482"/>
      <c r="G29" s="146" t="s">
        <v>18</v>
      </c>
      <c r="H29" s="543">
        <v>10.200000000000003</v>
      </c>
    </row>
    <row r="30" spans="1:8">
      <c r="A30" s="961"/>
      <c r="B30" s="962"/>
      <c r="C30" s="957"/>
      <c r="D30" s="300" t="s">
        <v>60</v>
      </c>
      <c r="E30" s="297" t="s">
        <v>61</v>
      </c>
      <c r="F30" s="301"/>
      <c r="G30" s="218" t="s">
        <v>18</v>
      </c>
      <c r="H30" s="542">
        <v>10.200000000000003</v>
      </c>
    </row>
    <row r="31" spans="1:8">
      <c r="A31" s="963"/>
      <c r="B31" s="600"/>
      <c r="C31" s="957"/>
      <c r="D31" s="300"/>
      <c r="E31" s="330" t="s">
        <v>2389</v>
      </c>
      <c r="F31" s="212">
        <f>F53</f>
        <v>10.200000000000003</v>
      </c>
      <c r="G31" s="959"/>
      <c r="H31" s="542"/>
    </row>
    <row r="32" spans="1:8">
      <c r="A32" s="1114"/>
      <c r="B32" s="1068"/>
      <c r="C32" s="1115"/>
      <c r="D32" s="1116"/>
      <c r="E32" s="1117"/>
      <c r="F32" s="775"/>
      <c r="G32" s="1118"/>
      <c r="H32" s="545"/>
    </row>
    <row r="33" spans="1:8">
      <c r="A33" s="334">
        <f>MAX(A$1:A29)+1</f>
        <v>6</v>
      </c>
      <c r="B33" s="1068"/>
      <c r="C33" s="846" t="s">
        <v>78</v>
      </c>
      <c r="D33" s="953"/>
      <c r="E33" s="1069" t="s">
        <v>79</v>
      </c>
      <c r="F33" s="775"/>
      <c r="G33" s="847" t="s">
        <v>18</v>
      </c>
      <c r="H33" s="544">
        <v>16.2</v>
      </c>
    </row>
    <row r="34" spans="1:8">
      <c r="A34" s="334"/>
      <c r="B34" s="836"/>
      <c r="C34" s="834"/>
      <c r="D34" s="773" t="s">
        <v>80</v>
      </c>
      <c r="E34" s="1070" t="s">
        <v>81</v>
      </c>
      <c r="F34" s="1071"/>
      <c r="G34" s="776" t="s">
        <v>18</v>
      </c>
      <c r="H34" s="545">
        <v>16.2</v>
      </c>
    </row>
    <row r="35" spans="1:8">
      <c r="A35" s="835"/>
      <c r="B35" s="836"/>
      <c r="C35" s="834"/>
      <c r="D35" s="773"/>
      <c r="E35" s="1072" t="s">
        <v>2528</v>
      </c>
      <c r="F35" s="990">
        <v>12.76</v>
      </c>
      <c r="G35" s="776"/>
      <c r="H35" s="535"/>
    </row>
    <row r="36" spans="1:8">
      <c r="A36" s="835"/>
      <c r="B36" s="836"/>
      <c r="C36" s="834"/>
      <c r="D36" s="773"/>
      <c r="E36" s="1072" t="s">
        <v>2529</v>
      </c>
      <c r="F36" s="1146">
        <v>3.44</v>
      </c>
      <c r="G36" s="776"/>
      <c r="H36" s="535"/>
    </row>
    <row r="37" spans="1:8">
      <c r="A37" s="835"/>
      <c r="B37" s="836"/>
      <c r="C37" s="834"/>
      <c r="D37" s="773"/>
      <c r="E37" s="467" t="s">
        <v>2530</v>
      </c>
      <c r="F37" s="1174" t="s">
        <v>2470</v>
      </c>
      <c r="G37" s="776"/>
      <c r="H37" s="535"/>
    </row>
    <row r="38" spans="1:8">
      <c r="A38" s="835"/>
      <c r="B38" s="836"/>
      <c r="C38" s="834"/>
      <c r="D38" s="773"/>
      <c r="E38" s="467"/>
      <c r="F38" s="990">
        <f>SUM(F35:F37)</f>
        <v>16.2</v>
      </c>
      <c r="G38" s="776"/>
      <c r="H38" s="535"/>
    </row>
    <row r="39" spans="1:8">
      <c r="A39" s="835"/>
      <c r="B39" s="836"/>
      <c r="C39" s="834"/>
      <c r="D39" s="773"/>
      <c r="E39" s="1072"/>
      <c r="F39" s="990"/>
      <c r="G39" s="776"/>
      <c r="H39" s="535"/>
    </row>
    <row r="40" spans="1:8" ht="51">
      <c r="A40" s="835"/>
      <c r="B40" s="836"/>
      <c r="C40" s="834"/>
      <c r="D40" s="773"/>
      <c r="E40" s="783" t="s">
        <v>2443</v>
      </c>
      <c r="F40" s="990"/>
      <c r="G40" s="776"/>
      <c r="H40" s="535"/>
    </row>
    <row r="41" spans="1:8">
      <c r="A41" s="835"/>
      <c r="B41" s="836"/>
      <c r="C41" s="834"/>
      <c r="D41" s="773"/>
      <c r="E41" s="783"/>
      <c r="F41" s="990"/>
      <c r="G41" s="776"/>
      <c r="H41" s="535"/>
    </row>
    <row r="42" spans="1:8">
      <c r="A42" s="334">
        <f>MAX(A$1:A41)+1</f>
        <v>7</v>
      </c>
      <c r="B42" s="429"/>
      <c r="C42" s="36" t="s">
        <v>472</v>
      </c>
      <c r="D42" s="37"/>
      <c r="E42" s="38" t="s">
        <v>473</v>
      </c>
      <c r="F42" s="39"/>
      <c r="G42" s="40" t="s">
        <v>18</v>
      </c>
      <c r="H42" s="544">
        <v>7.3599999999999994</v>
      </c>
    </row>
    <row r="43" spans="1:8">
      <c r="A43" s="438"/>
      <c r="B43" s="429"/>
      <c r="C43" s="430"/>
      <c r="D43" s="67" t="s">
        <v>474</v>
      </c>
      <c r="E43" s="71" t="s">
        <v>475</v>
      </c>
      <c r="F43" s="61"/>
      <c r="G43" s="62" t="s">
        <v>18</v>
      </c>
      <c r="H43" s="545">
        <v>7.3599999999999994</v>
      </c>
    </row>
    <row r="44" spans="1:8">
      <c r="A44" s="438"/>
      <c r="B44" s="429"/>
      <c r="C44" s="430"/>
      <c r="D44" s="431"/>
      <c r="E44" s="132" t="s">
        <v>2531</v>
      </c>
      <c r="F44" s="278">
        <v>5.8</v>
      </c>
      <c r="G44" s="512"/>
      <c r="H44" s="535"/>
    </row>
    <row r="45" spans="1:8">
      <c r="A45" s="438"/>
      <c r="B45" s="429"/>
      <c r="C45" s="430"/>
      <c r="D45" s="431"/>
      <c r="E45" s="132" t="s">
        <v>2532</v>
      </c>
      <c r="F45" s="272">
        <v>1.56</v>
      </c>
      <c r="G45" s="512"/>
      <c r="H45" s="535"/>
    </row>
    <row r="46" spans="1:8">
      <c r="A46" s="438"/>
      <c r="B46" s="429"/>
      <c r="C46" s="430"/>
      <c r="D46" s="431"/>
      <c r="E46" s="330"/>
      <c r="F46" s="547">
        <f>SUM(F44:F45)</f>
        <v>7.3599999999999994</v>
      </c>
      <c r="G46" s="512"/>
      <c r="H46" s="535"/>
    </row>
    <row r="47" spans="1:8">
      <c r="A47" s="835"/>
      <c r="B47" s="836"/>
      <c r="C47" s="834"/>
      <c r="D47" s="773"/>
      <c r="E47" s="774"/>
      <c r="F47" s="775"/>
      <c r="G47" s="776"/>
      <c r="H47" s="535"/>
    </row>
    <row r="48" spans="1:8">
      <c r="A48" s="334">
        <f>MAX(A$1:A47)+1</f>
        <v>8</v>
      </c>
      <c r="B48" s="439"/>
      <c r="C48" s="36" t="s">
        <v>50</v>
      </c>
      <c r="D48" s="37"/>
      <c r="E48" s="38" t="s">
        <v>51</v>
      </c>
      <c r="F48" s="39"/>
      <c r="G48" s="40" t="s">
        <v>18</v>
      </c>
      <c r="H48" s="544">
        <v>10.200000000000003</v>
      </c>
    </row>
    <row r="49" spans="1:8" ht="25.5">
      <c r="A49" s="293"/>
      <c r="B49" s="440"/>
      <c r="C49" s="66"/>
      <c r="D49" s="67" t="s">
        <v>138</v>
      </c>
      <c r="E49" s="71" t="s">
        <v>139</v>
      </c>
      <c r="F49" s="61"/>
      <c r="G49" s="62" t="s">
        <v>18</v>
      </c>
      <c r="H49" s="545">
        <v>10.200000000000003</v>
      </c>
    </row>
    <row r="50" spans="1:8">
      <c r="A50" s="334"/>
      <c r="B50" s="440"/>
      <c r="C50" s="430"/>
      <c r="D50" s="431"/>
      <c r="E50" s="964" t="s">
        <v>2397</v>
      </c>
      <c r="F50" s="212"/>
      <c r="G50" s="512"/>
      <c r="H50" s="544"/>
    </row>
    <row r="51" spans="1:8">
      <c r="A51" s="334"/>
      <c r="B51" s="440"/>
      <c r="C51" s="430"/>
      <c r="D51" s="431"/>
      <c r="E51" s="549" t="s">
        <v>66</v>
      </c>
      <c r="F51" s="212">
        <f>H13+H17+H23</f>
        <v>26.400000000000002</v>
      </c>
      <c r="G51" s="512"/>
      <c r="H51" s="544"/>
    </row>
    <row r="52" spans="1:8">
      <c r="A52" s="334"/>
      <c r="B52" s="440"/>
      <c r="C52" s="430"/>
      <c r="D52" s="431"/>
      <c r="E52" s="549" t="s">
        <v>82</v>
      </c>
      <c r="F52" s="213">
        <f>-H33</f>
        <v>-16.2</v>
      </c>
      <c r="G52" s="512"/>
      <c r="H52" s="544"/>
    </row>
    <row r="53" spans="1:8">
      <c r="A53" s="334"/>
      <c r="B53" s="440"/>
      <c r="C53" s="430"/>
      <c r="D53" s="431"/>
      <c r="E53" s="549"/>
      <c r="F53" s="212">
        <f>SUM(F51:F52)</f>
        <v>10.200000000000003</v>
      </c>
      <c r="G53" s="512"/>
      <c r="H53" s="544"/>
    </row>
    <row r="54" spans="1:8" ht="12.75" customHeight="1">
      <c r="A54" s="835"/>
      <c r="B54" s="836"/>
      <c r="C54" s="834"/>
      <c r="D54" s="773"/>
      <c r="E54" s="774"/>
      <c r="F54" s="775"/>
      <c r="G54" s="776"/>
      <c r="H54" s="535"/>
    </row>
    <row r="55" spans="1:8">
      <c r="A55" s="835"/>
      <c r="B55" s="35" t="s">
        <v>501</v>
      </c>
      <c r="C55" s="35"/>
      <c r="D55" s="94"/>
      <c r="E55" s="27" t="s">
        <v>502</v>
      </c>
      <c r="F55" s="775"/>
      <c r="G55" s="776"/>
      <c r="H55" s="544"/>
    </row>
    <row r="56" spans="1:8">
      <c r="A56" s="835"/>
      <c r="B56" s="836"/>
      <c r="C56" s="834"/>
      <c r="D56" s="773"/>
      <c r="E56" s="1074"/>
      <c r="F56" s="775"/>
      <c r="G56" s="776"/>
      <c r="H56" s="544"/>
    </row>
    <row r="57" spans="1:8" ht="25.5">
      <c r="A57" s="334">
        <f>MAX(A$1:A54)+1</f>
        <v>9</v>
      </c>
      <c r="B57" s="328"/>
      <c r="C57" s="978">
        <v>91282401</v>
      </c>
      <c r="D57" s="979"/>
      <c r="E57" s="980" t="s">
        <v>1740</v>
      </c>
      <c r="F57" s="981"/>
      <c r="G57" s="982" t="s">
        <v>145</v>
      </c>
      <c r="H57" s="722">
        <v>4</v>
      </c>
    </row>
    <row r="58" spans="1:8">
      <c r="A58" s="290"/>
      <c r="B58" s="328"/>
      <c r="C58" s="344"/>
      <c r="D58" s="199"/>
      <c r="E58" s="77" t="s">
        <v>1741</v>
      </c>
      <c r="F58" s="212">
        <v>4</v>
      </c>
      <c r="G58" s="295"/>
      <c r="H58" s="723"/>
    </row>
    <row r="59" spans="1:8">
      <c r="A59" s="835"/>
      <c r="B59" s="836"/>
      <c r="C59" s="834"/>
      <c r="D59" s="773"/>
      <c r="E59" s="1074"/>
      <c r="F59" s="775"/>
      <c r="G59" s="776"/>
      <c r="H59" s="544"/>
    </row>
    <row r="60" spans="1:8">
      <c r="A60" s="290"/>
      <c r="B60" s="1075" t="s">
        <v>416</v>
      </c>
      <c r="C60" s="1075"/>
      <c r="D60" s="1076"/>
      <c r="E60" s="1002" t="s">
        <v>417</v>
      </c>
      <c r="F60" s="1077"/>
      <c r="G60" s="333"/>
      <c r="H60" s="558"/>
    </row>
    <row r="61" spans="1:8">
      <c r="A61" s="290"/>
      <c r="B61" s="328"/>
      <c r="C61" s="331"/>
      <c r="D61" s="332"/>
      <c r="E61" s="1065"/>
      <c r="F61" s="1077"/>
      <c r="G61" s="333"/>
      <c r="H61" s="558"/>
    </row>
    <row r="62" spans="1:8" ht="25.5">
      <c r="A62" s="334">
        <f>MAX(A$1:A61)+1</f>
        <v>10</v>
      </c>
      <c r="B62" s="328"/>
      <c r="C62" s="36" t="s">
        <v>387</v>
      </c>
      <c r="D62" s="66"/>
      <c r="E62" s="38" t="s">
        <v>388</v>
      </c>
      <c r="F62" s="39"/>
      <c r="G62" s="40" t="s">
        <v>18</v>
      </c>
      <c r="H62" s="559">
        <v>1.8399999999999999</v>
      </c>
    </row>
    <row r="63" spans="1:8" ht="25.5">
      <c r="A63" s="290"/>
      <c r="B63" s="328"/>
      <c r="C63" s="1078"/>
      <c r="D63" s="191" t="s">
        <v>432</v>
      </c>
      <c r="E63" s="193" t="s">
        <v>433</v>
      </c>
      <c r="F63" s="192"/>
      <c r="G63" s="32" t="s">
        <v>18</v>
      </c>
      <c r="H63" s="560">
        <v>1.8399999999999999</v>
      </c>
    </row>
    <row r="64" spans="1:8">
      <c r="A64" s="290"/>
      <c r="B64" s="328"/>
      <c r="C64" s="1078"/>
      <c r="D64" s="599"/>
      <c r="E64" s="467" t="s">
        <v>2533</v>
      </c>
      <c r="F64" s="457">
        <v>1.45</v>
      </c>
      <c r="G64" s="146"/>
      <c r="H64" s="561"/>
    </row>
    <row r="65" spans="1:8">
      <c r="A65" s="835"/>
      <c r="B65" s="836"/>
      <c r="C65" s="834"/>
      <c r="D65" s="773"/>
      <c r="E65" s="467" t="s">
        <v>2534</v>
      </c>
      <c r="F65" s="1146">
        <v>0.39</v>
      </c>
      <c r="G65" s="776"/>
      <c r="H65" s="544"/>
    </row>
    <row r="66" spans="1:8">
      <c r="A66" s="835"/>
      <c r="B66" s="836"/>
      <c r="C66" s="834"/>
      <c r="D66" s="773"/>
      <c r="E66" s="1072"/>
      <c r="F66" s="990">
        <f>SUM(F64:F65)</f>
        <v>1.8399999999999999</v>
      </c>
      <c r="G66" s="776"/>
      <c r="H66" s="544"/>
    </row>
    <row r="67" spans="1:8">
      <c r="A67" s="835"/>
      <c r="B67" s="836"/>
      <c r="C67" s="834"/>
      <c r="D67" s="773"/>
      <c r="E67" s="1074"/>
      <c r="F67" s="775"/>
      <c r="G67" s="776"/>
      <c r="H67" s="544"/>
    </row>
    <row r="68" spans="1:8">
      <c r="A68" s="835"/>
      <c r="B68" s="1075" t="s">
        <v>2473</v>
      </c>
      <c r="C68" s="834"/>
      <c r="D68" s="773"/>
      <c r="E68" s="1002" t="s">
        <v>2474</v>
      </c>
      <c r="F68" s="775"/>
      <c r="G68" s="776"/>
      <c r="H68" s="544"/>
    </row>
    <row r="69" spans="1:8">
      <c r="A69" s="835"/>
      <c r="B69" s="1079"/>
      <c r="C69" s="834"/>
      <c r="D69" s="773"/>
      <c r="E69" s="1002"/>
      <c r="F69" s="775"/>
      <c r="G69" s="776"/>
      <c r="H69" s="544"/>
    </row>
    <row r="70" spans="1:8">
      <c r="A70" s="334">
        <f>MAX(A$1:A68)+1</f>
        <v>11</v>
      </c>
      <c r="B70" s="836"/>
      <c r="C70" s="953" t="s">
        <v>744</v>
      </c>
      <c r="D70" s="846"/>
      <c r="E70" s="1080" t="s">
        <v>745</v>
      </c>
      <c r="F70" s="775"/>
      <c r="G70" s="776" t="s">
        <v>36</v>
      </c>
      <c r="H70" s="1011">
        <v>165</v>
      </c>
    </row>
    <row r="71" spans="1:8" ht="25.5">
      <c r="A71" s="835"/>
      <c r="B71" s="836"/>
      <c r="C71" s="834"/>
      <c r="D71" s="773" t="s">
        <v>746</v>
      </c>
      <c r="E71" s="1074" t="s">
        <v>747</v>
      </c>
      <c r="F71" s="775"/>
      <c r="G71" s="776" t="s">
        <v>36</v>
      </c>
      <c r="H71" s="1081">
        <v>165</v>
      </c>
    </row>
    <row r="72" spans="1:8">
      <c r="A72" s="835"/>
      <c r="B72" s="836"/>
      <c r="C72" s="834"/>
      <c r="D72" s="773"/>
      <c r="E72" s="1018" t="s">
        <v>2535</v>
      </c>
      <c r="F72" s="990">
        <v>115</v>
      </c>
      <c r="G72" s="776"/>
      <c r="H72" s="544"/>
    </row>
    <row r="73" spans="1:8">
      <c r="A73" s="835"/>
      <c r="B73" s="836"/>
      <c r="C73" s="834"/>
      <c r="D73" s="773"/>
      <c r="E73" s="1018" t="s">
        <v>2475</v>
      </c>
      <c r="F73" s="1146">
        <v>50</v>
      </c>
      <c r="G73" s="776"/>
      <c r="H73" s="544"/>
    </row>
    <row r="74" spans="1:8">
      <c r="A74" s="835"/>
      <c r="B74" s="836"/>
      <c r="C74" s="834"/>
      <c r="D74" s="773"/>
      <c r="E74" s="1072"/>
      <c r="F74" s="990">
        <f>SUM(F72:F73)</f>
        <v>165</v>
      </c>
      <c r="G74" s="776"/>
      <c r="H74" s="544"/>
    </row>
    <row r="75" spans="1:8">
      <c r="A75" s="835"/>
      <c r="B75" s="1082"/>
      <c r="C75" s="1083"/>
      <c r="D75" s="600"/>
      <c r="E75" s="297"/>
      <c r="F75" s="958"/>
      <c r="G75" s="1010"/>
      <c r="H75" s="1084"/>
    </row>
    <row r="76" spans="1:8">
      <c r="A76" s="835"/>
      <c r="B76" s="1058" t="s">
        <v>225</v>
      </c>
      <c r="C76" s="1059"/>
      <c r="D76" s="1059"/>
      <c r="E76" s="1060" t="s">
        <v>226</v>
      </c>
      <c r="F76" s="958"/>
      <c r="G76" s="1010"/>
      <c r="H76" s="1084"/>
    </row>
    <row r="77" spans="1:8">
      <c r="A77" s="835"/>
      <c r="B77" s="1082"/>
      <c r="C77" s="1083"/>
      <c r="D77" s="600"/>
      <c r="E77" s="297"/>
      <c r="F77" s="958"/>
      <c r="G77" s="1010"/>
      <c r="H77" s="1084"/>
    </row>
    <row r="78" spans="1:8">
      <c r="A78" s="835">
        <f>MAX(A$1:A76)+1</f>
        <v>12</v>
      </c>
      <c r="B78" s="1085"/>
      <c r="C78" s="1007">
        <v>91080101</v>
      </c>
      <c r="D78" s="1008"/>
      <c r="E78" s="496" t="s">
        <v>227</v>
      </c>
      <c r="F78" s="1086"/>
      <c r="G78" s="1010" t="s">
        <v>36</v>
      </c>
      <c r="H78" s="1011">
        <v>115</v>
      </c>
    </row>
    <row r="79" spans="1:8">
      <c r="A79" s="1027"/>
      <c r="B79" s="1085"/>
      <c r="C79" s="1023"/>
      <c r="D79" s="1013">
        <v>9108010108</v>
      </c>
      <c r="E79" s="1014" t="s">
        <v>615</v>
      </c>
      <c r="F79" s="1086"/>
      <c r="G79" s="1016" t="s">
        <v>36</v>
      </c>
      <c r="H79" s="1081">
        <v>115</v>
      </c>
    </row>
    <row r="80" spans="1:8">
      <c r="A80" s="1027"/>
      <c r="B80" s="1085"/>
      <c r="C80" s="1023"/>
      <c r="D80" s="1013"/>
      <c r="E80" s="1018" t="s">
        <v>2536</v>
      </c>
      <c r="F80" s="1035">
        <v>115</v>
      </c>
      <c r="G80" s="1016"/>
      <c r="H80" s="1087"/>
    </row>
    <row r="81" spans="1:8">
      <c r="A81" s="835"/>
      <c r="B81" s="1082"/>
      <c r="C81" s="1083"/>
      <c r="D81" s="600"/>
      <c r="E81" s="297"/>
      <c r="F81" s="958"/>
      <c r="G81" s="1010"/>
      <c r="H81" s="1084"/>
    </row>
    <row r="82" spans="1:8">
      <c r="A82" s="835">
        <f>MAX(A$1:A80)+1</f>
        <v>13</v>
      </c>
      <c r="B82" s="1028"/>
      <c r="C82" s="1007">
        <v>91190102</v>
      </c>
      <c r="D82" s="1008"/>
      <c r="E82" s="496" t="s">
        <v>702</v>
      </c>
      <c r="F82" s="1009"/>
      <c r="G82" s="1010" t="s">
        <v>33</v>
      </c>
      <c r="H82" s="1175">
        <v>4</v>
      </c>
    </row>
    <row r="83" spans="1:8">
      <c r="A83" s="1027"/>
      <c r="B83" s="1028"/>
      <c r="C83" s="1023"/>
      <c r="D83" s="1013">
        <v>9119010201</v>
      </c>
      <c r="E83" s="1014" t="s">
        <v>703</v>
      </c>
      <c r="F83" s="1015"/>
      <c r="G83" s="1016" t="s">
        <v>33</v>
      </c>
      <c r="H83" s="1176">
        <v>4</v>
      </c>
    </row>
    <row r="84" spans="1:8">
      <c r="A84" s="1027"/>
      <c r="B84" s="1028"/>
      <c r="C84" s="1023"/>
      <c r="D84" s="1029"/>
      <c r="E84" s="1018" t="s">
        <v>2537</v>
      </c>
      <c r="F84" s="1035">
        <v>4</v>
      </c>
      <c r="G84" s="1016"/>
      <c r="H84" s="1031"/>
    </row>
    <row r="85" spans="1:8">
      <c r="A85" s="1027"/>
      <c r="B85" s="1028"/>
      <c r="C85" s="1023"/>
      <c r="D85" s="1029"/>
      <c r="E85" s="1014"/>
      <c r="F85" s="1030"/>
      <c r="G85" s="1016"/>
      <c r="H85" s="1031"/>
    </row>
    <row r="86" spans="1:8">
      <c r="A86" s="334">
        <f>MAX(A$1:A84)+1</f>
        <v>14</v>
      </c>
      <c r="B86" s="495"/>
      <c r="C86" s="1088">
        <v>91080118</v>
      </c>
      <c r="D86" s="1089"/>
      <c r="E86" s="1090" t="s">
        <v>558</v>
      </c>
      <c r="F86" s="1034"/>
      <c r="G86" s="780" t="s">
        <v>36</v>
      </c>
      <c r="H86" s="540">
        <v>115</v>
      </c>
    </row>
    <row r="87" spans="1:8">
      <c r="A87" s="1091"/>
      <c r="B87" s="495"/>
      <c r="C87" s="1092"/>
      <c r="D87" s="1093">
        <v>9108011801</v>
      </c>
      <c r="E87" s="1094" t="s">
        <v>559</v>
      </c>
      <c r="F87" s="1030"/>
      <c r="G87" s="959" t="s">
        <v>36</v>
      </c>
      <c r="H87" s="566">
        <v>115</v>
      </c>
    </row>
    <row r="88" spans="1:8">
      <c r="A88" s="1091"/>
      <c r="B88" s="495"/>
      <c r="C88" s="1092"/>
      <c r="D88" s="1093"/>
      <c r="E88" s="1095" t="s">
        <v>2477</v>
      </c>
      <c r="F88" s="565">
        <v>115</v>
      </c>
      <c r="G88" s="776"/>
      <c r="H88" s="567"/>
    </row>
    <row r="89" spans="1:8">
      <c r="A89" s="1091"/>
      <c r="B89" s="495"/>
      <c r="C89" s="1096"/>
      <c r="D89" s="1093"/>
      <c r="E89" s="1094"/>
      <c r="F89" s="1006"/>
      <c r="G89" s="776"/>
      <c r="H89" s="569"/>
    </row>
    <row r="90" spans="1:8" ht="25.5">
      <c r="A90" s="334">
        <f>MAX(A$1:A88)+1</f>
        <v>15</v>
      </c>
      <c r="B90" s="495"/>
      <c r="C90" s="195">
        <v>91100107</v>
      </c>
      <c r="D90" s="196"/>
      <c r="E90" s="38" t="s">
        <v>618</v>
      </c>
      <c r="F90" s="1097"/>
      <c r="G90" s="847" t="s">
        <v>33</v>
      </c>
      <c r="H90" s="540">
        <v>10</v>
      </c>
    </row>
    <row r="91" spans="1:8" ht="25.5">
      <c r="A91" s="1091"/>
      <c r="B91" s="495"/>
      <c r="C91" s="1096"/>
      <c r="D91" s="1093">
        <v>9110010701</v>
      </c>
      <c r="E91" s="297" t="s">
        <v>2478</v>
      </c>
      <c r="F91" s="297"/>
      <c r="G91" s="776" t="s">
        <v>33</v>
      </c>
      <c r="H91" s="566">
        <v>10</v>
      </c>
    </row>
    <row r="92" spans="1:8">
      <c r="A92" s="1091"/>
      <c r="B92" s="495"/>
      <c r="C92" s="1096"/>
      <c r="D92" s="1093"/>
      <c r="E92" s="1119" t="s">
        <v>2479</v>
      </c>
      <c r="F92" s="1099">
        <v>10</v>
      </c>
      <c r="G92" s="776"/>
      <c r="H92" s="569"/>
    </row>
    <row r="93" spans="1:8">
      <c r="A93" s="1027"/>
      <c r="B93" s="1028"/>
      <c r="C93" s="1023"/>
      <c r="D93" s="1029"/>
      <c r="E93" s="1014"/>
      <c r="F93" s="1030"/>
      <c r="G93" s="1016"/>
      <c r="H93" s="1031"/>
    </row>
    <row r="94" spans="1:8" ht="25.5">
      <c r="A94" s="999"/>
      <c r="B94" s="1000" t="s">
        <v>480</v>
      </c>
      <c r="C94" s="1000"/>
      <c r="D94" s="1001"/>
      <c r="E94" s="1002" t="s">
        <v>481</v>
      </c>
      <c r="F94" s="1003"/>
      <c r="G94" s="1004"/>
      <c r="H94" s="1005"/>
    </row>
    <row r="95" spans="1:8">
      <c r="A95" s="999"/>
      <c r="B95" s="1000"/>
      <c r="C95" s="1000"/>
      <c r="D95" s="1001"/>
      <c r="E95" s="1002"/>
      <c r="F95" s="1006"/>
      <c r="G95" s="1004"/>
      <c r="H95" s="1005"/>
    </row>
    <row r="96" spans="1:8" ht="25.5">
      <c r="A96" s="835">
        <f>MAX(A$1:A92)+1</f>
        <v>16</v>
      </c>
      <c r="B96" s="960"/>
      <c r="C96" s="1007">
        <v>91220702</v>
      </c>
      <c r="D96" s="1008"/>
      <c r="E96" s="496" t="s">
        <v>648</v>
      </c>
      <c r="F96" s="1009"/>
      <c r="G96" s="1010" t="s">
        <v>33</v>
      </c>
      <c r="H96" s="1011">
        <v>46</v>
      </c>
    </row>
    <row r="97" spans="1:11" ht="25.5">
      <c r="A97" s="1012"/>
      <c r="B97" s="960"/>
      <c r="C97" s="1007"/>
      <c r="D97" s="1013">
        <v>9122070201</v>
      </c>
      <c r="E97" s="1014" t="s">
        <v>649</v>
      </c>
      <c r="F97" s="1015"/>
      <c r="G97" s="1016" t="s">
        <v>33</v>
      </c>
      <c r="H97" s="1017">
        <v>46</v>
      </c>
    </row>
    <row r="98" spans="1:11">
      <c r="A98" s="1012"/>
      <c r="B98" s="960"/>
      <c r="C98" s="1007"/>
      <c r="D98" s="1008"/>
      <c r="E98" s="1018" t="s">
        <v>2458</v>
      </c>
      <c r="F98" s="521">
        <v>6</v>
      </c>
      <c r="G98" s="1010"/>
      <c r="H98" s="1019"/>
    </row>
    <row r="99" spans="1:11">
      <c r="A99" s="1012"/>
      <c r="B99" s="960"/>
      <c r="C99" s="1007"/>
      <c r="D99" s="1008"/>
      <c r="E99" s="1018" t="s">
        <v>2459</v>
      </c>
      <c r="F99" s="521">
        <v>12</v>
      </c>
      <c r="G99" s="1010"/>
      <c r="H99" s="1019"/>
    </row>
    <row r="100" spans="1:11">
      <c r="A100" s="1012"/>
      <c r="B100" s="960"/>
      <c r="C100" s="1007"/>
      <c r="D100" s="1008"/>
      <c r="E100" s="1018" t="s">
        <v>647</v>
      </c>
      <c r="F100" s="522">
        <v>28</v>
      </c>
      <c r="G100" s="1010"/>
      <c r="H100" s="1019"/>
    </row>
    <row r="101" spans="1:11">
      <c r="A101" s="1012"/>
      <c r="B101" s="960"/>
      <c r="C101" s="1007"/>
      <c r="D101" s="1008"/>
      <c r="E101" s="1020"/>
      <c r="F101" s="572">
        <f>SUM(F98:F100)</f>
        <v>46</v>
      </c>
      <c r="G101" s="1010"/>
      <c r="H101" s="1019"/>
    </row>
    <row r="102" spans="1:11">
      <c r="A102" s="1012"/>
      <c r="B102" s="960"/>
      <c r="C102" s="1007"/>
      <c r="D102" s="1008"/>
      <c r="E102" s="496"/>
      <c r="F102" s="1009"/>
      <c r="G102" s="1010"/>
      <c r="H102" s="1019"/>
    </row>
    <row r="103" spans="1:11" ht="25.5">
      <c r="A103" s="835">
        <f>MAX(A$1:A101)+1</f>
        <v>17</v>
      </c>
      <c r="B103" s="960"/>
      <c r="C103" s="1007">
        <v>91221001</v>
      </c>
      <c r="D103" s="1008"/>
      <c r="E103" s="496" t="s">
        <v>619</v>
      </c>
      <c r="F103" s="779"/>
      <c r="G103" s="1010" t="s">
        <v>36</v>
      </c>
      <c r="H103" s="1011">
        <v>100</v>
      </c>
    </row>
    <row r="104" spans="1:11" ht="25.5">
      <c r="A104" s="1021"/>
      <c r="B104" s="1022"/>
      <c r="C104" s="1023"/>
      <c r="D104" s="1013">
        <v>9122100103</v>
      </c>
      <c r="E104" s="1014" t="s">
        <v>620</v>
      </c>
      <c r="F104" s="958"/>
      <c r="G104" s="1016" t="s">
        <v>36</v>
      </c>
      <c r="H104" s="1017">
        <v>79</v>
      </c>
    </row>
    <row r="105" spans="1:11">
      <c r="A105" s="1021"/>
      <c r="B105" s="1022"/>
      <c r="C105" s="331"/>
      <c r="D105" s="332"/>
      <c r="E105" s="1018" t="s">
        <v>734</v>
      </c>
      <c r="F105" s="521">
        <v>79</v>
      </c>
      <c r="G105" s="523"/>
      <c r="H105" s="1026"/>
    </row>
    <row r="106" spans="1:11" ht="25.5">
      <c r="A106" s="1027"/>
      <c r="B106" s="1028"/>
      <c r="C106" s="1023"/>
      <c r="D106" s="1029">
        <v>9122100102</v>
      </c>
      <c r="E106" s="1014" t="s">
        <v>717</v>
      </c>
      <c r="F106" s="1030"/>
      <c r="G106" s="1016" t="s">
        <v>36</v>
      </c>
      <c r="H106" s="1017">
        <v>21</v>
      </c>
    </row>
    <row r="107" spans="1:11">
      <c r="A107" s="1027"/>
      <c r="B107" s="1028"/>
      <c r="C107" s="1023"/>
      <c r="D107" s="1029"/>
      <c r="E107" s="1018" t="s">
        <v>2460</v>
      </c>
      <c r="F107" s="521">
        <v>21</v>
      </c>
      <c r="G107" s="1016"/>
      <c r="H107" s="1031"/>
    </row>
    <row r="108" spans="1:11">
      <c r="A108" s="1027"/>
      <c r="B108" s="1028"/>
      <c r="C108" s="1023"/>
      <c r="D108" s="1029"/>
      <c r="E108" s="1014"/>
      <c r="F108" s="1030"/>
      <c r="G108" s="1016"/>
      <c r="H108" s="1031"/>
    </row>
    <row r="109" spans="1:11" ht="25.5">
      <c r="A109" s="835">
        <f>MAX(A$1:A107)+1</f>
        <v>18</v>
      </c>
      <c r="B109" s="1028"/>
      <c r="C109" s="1007">
        <v>91221201</v>
      </c>
      <c r="D109" s="1032"/>
      <c r="E109" s="1033" t="s">
        <v>652</v>
      </c>
      <c r="F109" s="1034"/>
      <c r="G109" s="1010" t="s">
        <v>36</v>
      </c>
      <c r="H109" s="1011">
        <v>13.2</v>
      </c>
    </row>
    <row r="110" spans="1:11" ht="25.5">
      <c r="A110" s="1027"/>
      <c r="B110" s="1028"/>
      <c r="C110" s="1023"/>
      <c r="D110" s="1029">
        <v>9122120101</v>
      </c>
      <c r="E110" s="1014" t="s">
        <v>653</v>
      </c>
      <c r="F110" s="1030"/>
      <c r="G110" s="1016" t="s">
        <v>36</v>
      </c>
      <c r="H110" s="1017">
        <v>13.2</v>
      </c>
      <c r="K110" s="410"/>
    </row>
    <row r="111" spans="1:11">
      <c r="A111" s="1027"/>
      <c r="B111" s="1028"/>
      <c r="C111" s="1023"/>
      <c r="D111" s="1029"/>
      <c r="E111" s="1018" t="s">
        <v>2462</v>
      </c>
      <c r="F111" s="1035">
        <v>13.2</v>
      </c>
      <c r="G111" s="1016"/>
      <c r="H111" s="1031"/>
      <c r="K111" s="410"/>
    </row>
    <row r="112" spans="1:11" s="1014" customFormat="1" ht="24.75" customHeight="1" thickBot="1">
      <c r="A112" s="1100"/>
      <c r="B112" s="1101"/>
      <c r="C112" s="1102"/>
      <c r="D112" s="1103"/>
      <c r="E112" s="1104"/>
      <c r="F112" s="1105"/>
      <c r="G112" s="1106"/>
      <c r="H112" s="1107"/>
    </row>
    <row r="113" spans="1:8" s="1014" customFormat="1" ht="24.75" customHeight="1">
      <c r="A113" s="301"/>
      <c r="B113" s="1108"/>
      <c r="C113" s="1109"/>
      <c r="D113" s="1110"/>
      <c r="E113" s="1111"/>
      <c r="F113" s="1030"/>
      <c r="G113" s="1112"/>
      <c r="H113" s="1113"/>
    </row>
  </sheetData>
  <sheetProtection algorithmName="SHA-512" hashValue="LRD6ZiUcHeQQlFOzUhrllxVeGyAysLAhiaDTm6CGnEayuVcdtQlm18RO8mz7IHDCAq1RrQrftBzsF2k819tFPQ==" saltValue="kaBnaW4WGJzO5ht16mnGm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A16CE-AB11-478C-A9A1-402B44F75DF6}">
  <sheetPr codeName="Hárok29"/>
  <dimension ref="A1:H6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2540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3" t="s">
        <v>3</v>
      </c>
      <c r="B3" s="1354"/>
      <c r="C3" s="1354"/>
      <c r="D3" s="1047"/>
      <c r="E3" s="1355" t="s">
        <v>2541</v>
      </c>
      <c r="F3" s="1356"/>
      <c r="G3" s="1359" t="s">
        <v>5</v>
      </c>
      <c r="H3" s="1361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57"/>
      <c r="F4" s="1358"/>
      <c r="G4" s="1360"/>
      <c r="H4" s="1362"/>
    </row>
    <row r="5" spans="1:8">
      <c r="A5" s="835"/>
      <c r="B5" s="1132"/>
      <c r="C5" s="1133"/>
      <c r="D5" s="1177"/>
      <c r="E5" s="1178"/>
      <c r="G5" s="1138"/>
      <c r="H5" s="721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507">
        <v>4.6900000000000004</v>
      </c>
    </row>
    <row r="9" spans="1:8" ht="12.75" customHeight="1">
      <c r="A9" s="34"/>
      <c r="B9" s="464"/>
      <c r="C9" s="36"/>
      <c r="D9" s="37"/>
      <c r="E9" s="38"/>
      <c r="F9" s="46">
        <v>4.6900000000000004</v>
      </c>
      <c r="G9" s="40"/>
      <c r="H9" s="506"/>
    </row>
    <row r="10" spans="1:8" ht="12.75" customHeight="1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34"/>
      <c r="B11" s="35" t="s">
        <v>72</v>
      </c>
      <c r="C11" s="93"/>
      <c r="D11" s="94"/>
      <c r="E11" s="50" t="s">
        <v>73</v>
      </c>
      <c r="F11" s="46"/>
      <c r="G11" s="40"/>
      <c r="H11" s="506"/>
    </row>
    <row r="12" spans="1:8" ht="12.75" customHeight="1">
      <c r="A12" s="1057"/>
      <c r="B12" s="1058"/>
      <c r="C12" s="1059"/>
      <c r="D12" s="1059"/>
      <c r="E12" s="1060"/>
      <c r="F12" s="1179"/>
      <c r="G12" s="1062"/>
      <c r="H12" s="531"/>
    </row>
    <row r="13" spans="1:8" ht="12.75" customHeight="1">
      <c r="A13" s="34">
        <f>MAX(A$1:A12)+1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15.01</v>
      </c>
    </row>
    <row r="14" spans="1:8" ht="12.75" customHeight="1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15.01</v>
      </c>
    </row>
    <row r="15" spans="1:8" ht="12.75" customHeight="1">
      <c r="A15" s="963"/>
      <c r="B15" s="600"/>
      <c r="C15" s="957"/>
      <c r="D15" s="300"/>
      <c r="E15" s="783" t="s">
        <v>2542</v>
      </c>
      <c r="F15" s="229">
        <v>15.01</v>
      </c>
      <c r="G15" s="959"/>
      <c r="H15" s="542"/>
    </row>
    <row r="16" spans="1:8" ht="12.75" customHeight="1">
      <c r="A16" s="963"/>
      <c r="B16" s="600"/>
      <c r="C16" s="957"/>
      <c r="D16" s="300"/>
      <c r="E16" s="774"/>
      <c r="F16" s="958"/>
      <c r="G16" s="959"/>
      <c r="H16" s="542"/>
    </row>
    <row r="17" spans="1:8" ht="51" customHeight="1">
      <c r="A17" s="963"/>
      <c r="B17" s="600"/>
      <c r="C17" s="957"/>
      <c r="D17" s="300"/>
      <c r="E17" s="783" t="s">
        <v>2443</v>
      </c>
      <c r="F17" s="958"/>
      <c r="G17" s="959"/>
      <c r="H17" s="542"/>
    </row>
    <row r="18" spans="1:8">
      <c r="A18" s="963"/>
      <c r="B18" s="1067"/>
      <c r="C18" s="957"/>
      <c r="D18" s="300"/>
      <c r="E18" s="783"/>
      <c r="F18" s="958"/>
      <c r="G18" s="959"/>
      <c r="H18" s="542"/>
    </row>
    <row r="19" spans="1:8">
      <c r="A19" s="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4.6900000000000004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4.6900000000000004</v>
      </c>
    </row>
    <row r="21" spans="1:8">
      <c r="A21" s="963"/>
      <c r="B21" s="600"/>
      <c r="C21" s="957"/>
      <c r="D21" s="300"/>
      <c r="E21" s="783" t="s">
        <v>2389</v>
      </c>
      <c r="F21" s="229">
        <v>4.6900000000000004</v>
      </c>
      <c r="G21" s="959"/>
      <c r="H21" s="542"/>
    </row>
    <row r="22" spans="1:8">
      <c r="A22" s="963"/>
      <c r="B22" s="1067"/>
      <c r="C22" s="957"/>
      <c r="D22" s="300"/>
      <c r="E22" s="783"/>
      <c r="F22" s="958"/>
      <c r="G22" s="959"/>
      <c r="H22" s="542"/>
    </row>
    <row r="23" spans="1:8" ht="12.75" customHeight="1">
      <c r="A23" s="334">
        <f>MAX(A$1:A22)+1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10.32</v>
      </c>
    </row>
    <row r="24" spans="1:8" ht="12.75" customHeight="1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10.32</v>
      </c>
    </row>
    <row r="25" spans="1:8" ht="12.75" customHeight="1">
      <c r="A25" s="835"/>
      <c r="B25" s="836"/>
      <c r="C25" s="834"/>
      <c r="D25" s="773"/>
      <c r="E25" s="1072" t="s">
        <v>2543</v>
      </c>
      <c r="F25" s="990">
        <v>10.318</v>
      </c>
      <c r="G25" s="776"/>
      <c r="H25" s="535"/>
    </row>
    <row r="26" spans="1:8" ht="12.75" customHeight="1">
      <c r="A26" s="835"/>
      <c r="B26" s="836"/>
      <c r="C26" s="834"/>
      <c r="D26" s="773"/>
      <c r="E26" s="467" t="s">
        <v>2530</v>
      </c>
      <c r="F26" s="1073" t="s">
        <v>2470</v>
      </c>
      <c r="G26" s="776"/>
      <c r="H26" s="535"/>
    </row>
    <row r="27" spans="1:8" ht="12.75" customHeight="1">
      <c r="A27" s="835"/>
      <c r="B27" s="836"/>
      <c r="C27" s="834"/>
      <c r="D27" s="773"/>
      <c r="E27" s="479"/>
      <c r="F27" s="1180"/>
      <c r="G27" s="776"/>
      <c r="H27" s="535"/>
    </row>
    <row r="28" spans="1:8" ht="12.75" customHeight="1">
      <c r="A28" s="34">
        <f>MAX(A$1:A27)+1</f>
        <v>5</v>
      </c>
      <c r="B28" s="836"/>
      <c r="C28" s="36" t="s">
        <v>472</v>
      </c>
      <c r="D28" s="37"/>
      <c r="E28" s="38" t="s">
        <v>473</v>
      </c>
      <c r="F28" s="39"/>
      <c r="G28" s="40" t="s">
        <v>18</v>
      </c>
      <c r="H28" s="544">
        <v>4.6900000000000004</v>
      </c>
    </row>
    <row r="29" spans="1:8" ht="12.75" customHeight="1">
      <c r="A29" s="835"/>
      <c r="B29" s="836"/>
      <c r="C29" s="430"/>
      <c r="D29" s="67" t="s">
        <v>474</v>
      </c>
      <c r="E29" s="71" t="s">
        <v>475</v>
      </c>
      <c r="F29" s="61"/>
      <c r="G29" s="62" t="s">
        <v>18</v>
      </c>
      <c r="H29" s="545">
        <v>4.6900000000000004</v>
      </c>
    </row>
    <row r="30" spans="1:8" ht="12.75" customHeight="1">
      <c r="A30" s="835"/>
      <c r="B30" s="836"/>
      <c r="C30" s="430"/>
      <c r="D30" s="431"/>
      <c r="E30" s="330" t="s">
        <v>2544</v>
      </c>
      <c r="F30" s="547">
        <v>4.6900000000000004</v>
      </c>
      <c r="G30" s="512"/>
      <c r="H30" s="535"/>
    </row>
    <row r="31" spans="1:8" ht="12.75" customHeight="1">
      <c r="A31" s="835"/>
      <c r="B31" s="836"/>
      <c r="C31" s="834"/>
      <c r="D31" s="773"/>
      <c r="E31" s="1074"/>
      <c r="F31" s="775"/>
      <c r="G31" s="776"/>
      <c r="H31" s="535"/>
    </row>
    <row r="32" spans="1:8" ht="51" customHeight="1">
      <c r="A32" s="835"/>
      <c r="B32" s="836"/>
      <c r="C32" s="834"/>
      <c r="D32" s="773"/>
      <c r="E32" s="783" t="s">
        <v>2443</v>
      </c>
      <c r="F32" s="775"/>
      <c r="G32" s="776"/>
      <c r="H32" s="535"/>
    </row>
    <row r="33" spans="1:8" ht="12.75" customHeight="1">
      <c r="A33" s="835"/>
      <c r="B33" s="836"/>
      <c r="C33" s="834"/>
      <c r="D33" s="773"/>
      <c r="E33" s="774"/>
      <c r="F33" s="775"/>
      <c r="G33" s="776"/>
      <c r="H33" s="535"/>
    </row>
    <row r="34" spans="1:8" ht="12.75" customHeight="1">
      <c r="A34" s="34">
        <f>MAX(A$1:A33)+1</f>
        <v>6</v>
      </c>
      <c r="B34" s="836"/>
      <c r="C34" s="36" t="s">
        <v>50</v>
      </c>
      <c r="D34" s="37"/>
      <c r="E34" s="38" t="s">
        <v>51</v>
      </c>
      <c r="F34" s="1181"/>
      <c r="G34" s="847" t="s">
        <v>18</v>
      </c>
      <c r="H34" s="544">
        <v>4.6900000000000004</v>
      </c>
    </row>
    <row r="35" spans="1:8" ht="25.5">
      <c r="A35" s="835"/>
      <c r="B35" s="836"/>
      <c r="C35" s="66"/>
      <c r="D35" s="67" t="s">
        <v>138</v>
      </c>
      <c r="E35" s="71" t="s">
        <v>139</v>
      </c>
      <c r="F35" s="1071"/>
      <c r="G35" s="776" t="s">
        <v>18</v>
      </c>
      <c r="H35" s="545">
        <v>4.6900000000000004</v>
      </c>
    </row>
    <row r="36" spans="1:8">
      <c r="A36" s="835"/>
      <c r="B36" s="836"/>
      <c r="C36" s="834"/>
      <c r="D36" s="773"/>
      <c r="E36" s="1182" t="s">
        <v>2397</v>
      </c>
      <c r="F36" s="775"/>
      <c r="G36" s="776"/>
      <c r="H36" s="544"/>
    </row>
    <row r="37" spans="1:8">
      <c r="A37" s="835"/>
      <c r="B37" s="836"/>
      <c r="C37" s="834"/>
      <c r="D37" s="773"/>
      <c r="E37" s="549" t="s">
        <v>66</v>
      </c>
      <c r="F37" s="212">
        <f>F15</f>
        <v>15.01</v>
      </c>
      <c r="G37" s="776"/>
      <c r="H37" s="544"/>
    </row>
    <row r="38" spans="1:8">
      <c r="A38" s="835"/>
      <c r="B38" s="836"/>
      <c r="C38" s="834"/>
      <c r="D38" s="773"/>
      <c r="E38" s="549" t="s">
        <v>82</v>
      </c>
      <c r="F38" s="213">
        <f>-F25</f>
        <v>-10.318</v>
      </c>
      <c r="G38" s="776"/>
      <c r="H38" s="544"/>
    </row>
    <row r="39" spans="1:8">
      <c r="A39" s="835"/>
      <c r="B39" s="836"/>
      <c r="C39" s="834"/>
      <c r="D39" s="773"/>
      <c r="E39" s="549"/>
      <c r="F39" s="212">
        <f>SUM(F37:F38)</f>
        <v>4.6920000000000002</v>
      </c>
      <c r="G39" s="776"/>
      <c r="H39" s="544"/>
    </row>
    <row r="40" spans="1:8">
      <c r="A40" s="835"/>
      <c r="B40" s="836"/>
      <c r="C40" s="834"/>
      <c r="D40" s="773"/>
      <c r="E40" s="549"/>
      <c r="F40" s="212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MAX(A$1:A39)+1</f>
        <v>7</v>
      </c>
      <c r="B43" s="328"/>
      <c r="C43" s="978">
        <v>91282401</v>
      </c>
      <c r="D43" s="979"/>
      <c r="E43" s="980" t="s">
        <v>1740</v>
      </c>
      <c r="F43" s="981"/>
      <c r="G43" s="982" t="s">
        <v>145</v>
      </c>
      <c r="H43" s="1175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835"/>
      <c r="B46" s="1058" t="s">
        <v>225</v>
      </c>
      <c r="C46" s="1059"/>
      <c r="D46" s="1059"/>
      <c r="E46" s="1060" t="s">
        <v>226</v>
      </c>
      <c r="F46" s="958"/>
      <c r="G46" s="1010"/>
      <c r="H46" s="1084"/>
    </row>
    <row r="47" spans="1:8">
      <c r="A47" s="835"/>
      <c r="B47" s="1082"/>
      <c r="C47" s="1083"/>
      <c r="D47" s="600"/>
      <c r="E47" s="297"/>
      <c r="F47" s="958"/>
      <c r="G47" s="1010"/>
      <c r="H47" s="1084"/>
    </row>
    <row r="48" spans="1:8">
      <c r="A48" s="835">
        <f>MAX(A$1:A46)+1</f>
        <v>8</v>
      </c>
      <c r="B48" s="1085"/>
      <c r="C48" s="195">
        <v>91190102</v>
      </c>
      <c r="D48" s="196"/>
      <c r="E48" s="38" t="s">
        <v>702</v>
      </c>
      <c r="F48" s="39"/>
      <c r="G48" s="40" t="s">
        <v>33</v>
      </c>
      <c r="H48" s="1011">
        <v>4</v>
      </c>
    </row>
    <row r="49" spans="1:8">
      <c r="A49" s="1027"/>
      <c r="B49" s="1085"/>
      <c r="C49" s="1023"/>
      <c r="D49" s="199">
        <v>9119010204</v>
      </c>
      <c r="E49" s="71" t="s">
        <v>2545</v>
      </c>
      <c r="F49" s="61"/>
      <c r="G49" s="62" t="s">
        <v>33</v>
      </c>
      <c r="H49" s="1081">
        <v>4</v>
      </c>
    </row>
    <row r="50" spans="1:8">
      <c r="A50" s="1027"/>
      <c r="B50" s="1085"/>
      <c r="C50" s="1023"/>
      <c r="D50" s="1013"/>
      <c r="E50" s="1018" t="s">
        <v>2546</v>
      </c>
      <c r="F50" s="1035">
        <v>4</v>
      </c>
      <c r="G50" s="1016"/>
      <c r="H50" s="1087"/>
    </row>
    <row r="51" spans="1:8">
      <c r="A51" s="1027"/>
      <c r="B51" s="1028"/>
      <c r="C51" s="1023"/>
      <c r="D51" s="1029"/>
      <c r="E51" s="1014"/>
      <c r="F51" s="1030"/>
      <c r="G51" s="1016"/>
      <c r="H51" s="1031"/>
    </row>
    <row r="52" spans="1:8" ht="25.5">
      <c r="A52" s="999"/>
      <c r="B52" s="1000" t="s">
        <v>480</v>
      </c>
      <c r="C52" s="1000"/>
      <c r="D52" s="1001"/>
      <c r="E52" s="1002" t="s">
        <v>481</v>
      </c>
      <c r="F52" s="1003"/>
      <c r="G52" s="1004"/>
      <c r="H52" s="1005"/>
    </row>
    <row r="53" spans="1:8">
      <c r="A53" s="1183"/>
      <c r="B53" s="1184"/>
      <c r="C53" s="1000"/>
      <c r="D53" s="1001"/>
      <c r="E53" s="1002"/>
      <c r="F53" s="1006"/>
      <c r="G53" s="1004"/>
      <c r="H53" s="1005"/>
    </row>
    <row r="54" spans="1:8">
      <c r="A54" s="334">
        <f>MAX(A$1:A51)+1</f>
        <v>9</v>
      </c>
      <c r="B54" s="836"/>
      <c r="C54" s="195">
        <v>91010702</v>
      </c>
      <c r="D54" s="196"/>
      <c r="E54" s="38" t="s">
        <v>2547</v>
      </c>
      <c r="F54" s="39"/>
      <c r="G54" s="40" t="s">
        <v>36</v>
      </c>
      <c r="H54" s="1175">
        <v>120</v>
      </c>
    </row>
    <row r="55" spans="1:8">
      <c r="A55" s="835"/>
      <c r="B55" s="836"/>
      <c r="C55" s="198"/>
      <c r="D55" s="199">
        <v>9101070201</v>
      </c>
      <c r="E55" s="71" t="s">
        <v>2548</v>
      </c>
      <c r="F55" s="61"/>
      <c r="G55" s="62" t="s">
        <v>36</v>
      </c>
      <c r="H55" s="566">
        <v>120</v>
      </c>
    </row>
    <row r="56" spans="1:8">
      <c r="A56" s="835"/>
      <c r="B56" s="836"/>
      <c r="C56" s="1092"/>
      <c r="D56" s="1093"/>
      <c r="E56" s="1095" t="s">
        <v>2549</v>
      </c>
      <c r="F56" s="1035">
        <v>120</v>
      </c>
      <c r="G56" s="959"/>
      <c r="H56" s="571"/>
    </row>
    <row r="57" spans="1:8">
      <c r="A57" s="999"/>
      <c r="B57" s="1000"/>
      <c r="C57" s="1000"/>
      <c r="D57" s="1001"/>
      <c r="E57" s="1002"/>
      <c r="F57" s="1006"/>
      <c r="G57" s="1004"/>
      <c r="H57" s="1005"/>
    </row>
    <row r="58" spans="1:8" ht="25.5">
      <c r="A58" s="334">
        <f>MAX(A$1:A56)+1</f>
        <v>10</v>
      </c>
      <c r="B58" s="960"/>
      <c r="C58" s="195">
        <v>92020103</v>
      </c>
      <c r="D58" s="196"/>
      <c r="E58" s="38" t="s">
        <v>720</v>
      </c>
      <c r="F58" s="1009"/>
      <c r="G58" s="1010" t="s">
        <v>36</v>
      </c>
      <c r="H58" s="1011">
        <v>200</v>
      </c>
    </row>
    <row r="59" spans="1:8" ht="25.5">
      <c r="A59" s="1012"/>
      <c r="B59" s="960"/>
      <c r="C59" s="1007"/>
      <c r="D59" s="199">
        <v>9202010305</v>
      </c>
      <c r="E59" s="71" t="s">
        <v>721</v>
      </c>
      <c r="F59" s="71"/>
      <c r="G59" s="62" t="s">
        <v>36</v>
      </c>
      <c r="H59" s="1017">
        <v>200</v>
      </c>
    </row>
    <row r="60" spans="1:8">
      <c r="A60" s="1012"/>
      <c r="B60" s="960"/>
      <c r="C60" s="1007"/>
      <c r="D60" s="1008"/>
      <c r="E60" s="1018" t="s">
        <v>2550</v>
      </c>
      <c r="F60" s="521">
        <v>200</v>
      </c>
      <c r="G60" s="1010"/>
      <c r="H60" s="1019"/>
    </row>
    <row r="61" spans="1:8" s="1014" customFormat="1" ht="13.5" thickBot="1">
      <c r="A61" s="1100"/>
      <c r="B61" s="1101"/>
      <c r="C61" s="1102"/>
      <c r="D61" s="1103"/>
      <c r="E61" s="1104"/>
      <c r="F61" s="1105"/>
      <c r="G61" s="1106"/>
      <c r="H61" s="1107"/>
    </row>
    <row r="62" spans="1:8" s="1014" customFormat="1" ht="24.75" customHeight="1">
      <c r="A62" s="301"/>
      <c r="B62" s="1108"/>
      <c r="C62" s="1109"/>
      <c r="D62" s="1110"/>
      <c r="E62" s="1111"/>
      <c r="F62" s="1030"/>
      <c r="G62" s="1112"/>
      <c r="H62" s="1113"/>
    </row>
  </sheetData>
  <sheetProtection algorithmName="SHA-512" hashValue="HJRtRsRNiGkEVCsccNpazJuE+6x8PLjyfdOkFAyY/EFmDztzoAn411ozulDBh5Ru57VJdF34tPYrTPWPgT74YA==" saltValue="ZTIZ0fQ3bZhprPfEsBQRq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B97C3-1D7F-4059-95D7-117CC12B8A1E}">
  <sheetPr codeName="Hárok30"/>
  <dimension ref="A1:M106"/>
  <sheetViews>
    <sheetView showGridLines="0" workbookViewId="0">
      <selection activeCell="F22" sqref="F22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2.140625" style="111" customWidth="1"/>
    <col min="5" max="5" width="52.7109375" style="111" customWidth="1"/>
    <col min="6" max="6" width="9.85546875" style="6" customWidth="1"/>
    <col min="7" max="7" width="5.7109375" style="324" customWidth="1"/>
    <col min="8" max="8" width="10.140625" style="113" customWidth="1"/>
    <col min="9" max="9" width="11.7109375" style="602" customWidth="1"/>
    <col min="10" max="11" width="9.140625" style="602"/>
    <col min="12" max="13" width="9.140625" style="208"/>
  </cols>
  <sheetData>
    <row r="1" spans="1:8">
      <c r="A1" s="2" t="s">
        <v>1</v>
      </c>
      <c r="B1" s="2"/>
      <c r="C1" s="3"/>
      <c r="D1" s="4"/>
      <c r="E1" s="4" t="s">
        <v>2557</v>
      </c>
      <c r="F1" s="396"/>
      <c r="G1" s="326"/>
      <c r="H1" s="8"/>
    </row>
    <row r="2" spans="1:8" ht="15.75" thickBot="1">
      <c r="A2" s="9" t="s">
        <v>2</v>
      </c>
      <c r="B2" s="2"/>
      <c r="C2" s="3"/>
      <c r="D2" s="4"/>
      <c r="E2" s="10">
        <v>2214</v>
      </c>
      <c r="G2" s="372"/>
      <c r="H2" s="12"/>
    </row>
    <row r="3" spans="1:8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8">
      <c r="A5" s="363"/>
      <c r="B5" s="119"/>
      <c r="C5" s="119"/>
      <c r="D5" s="119"/>
      <c r="E5" s="323"/>
      <c r="F5" s="354"/>
      <c r="G5" s="364"/>
      <c r="H5" s="365"/>
    </row>
    <row r="6" spans="1:8">
      <c r="A6" s="1185"/>
      <c r="B6" s="24" t="s">
        <v>11</v>
      </c>
      <c r="C6" s="25"/>
      <c r="D6" s="26"/>
      <c r="E6" s="27" t="s">
        <v>12</v>
      </c>
      <c r="F6" s="1186"/>
      <c r="G6" s="364"/>
      <c r="H6" s="357"/>
    </row>
    <row r="7" spans="1:8">
      <c r="A7" s="1185"/>
      <c r="B7" s="214"/>
      <c r="C7" s="241"/>
      <c r="D7" s="315"/>
      <c r="E7" s="251"/>
      <c r="F7" s="1186"/>
      <c r="G7" s="364"/>
      <c r="H7" s="357"/>
    </row>
    <row r="8" spans="1:8" ht="25.5">
      <c r="A8" s="34">
        <f>MAX(A$1:A7)+1</f>
        <v>1</v>
      </c>
      <c r="B8" s="214"/>
      <c r="C8" s="36" t="s">
        <v>13</v>
      </c>
      <c r="D8" s="37"/>
      <c r="E8" s="38" t="s">
        <v>14</v>
      </c>
      <c r="F8" s="39"/>
      <c r="G8" s="40" t="s">
        <v>15</v>
      </c>
      <c r="H8" s="356">
        <v>38.020000000000003</v>
      </c>
    </row>
    <row r="9" spans="1:8">
      <c r="A9" s="1185"/>
      <c r="B9" s="214"/>
      <c r="C9" s="241"/>
      <c r="D9" s="315"/>
      <c r="E9" s="251"/>
      <c r="F9" s="134">
        <f>F35</f>
        <v>38.016000000000005</v>
      </c>
      <c r="G9" s="364"/>
      <c r="H9" s="357"/>
    </row>
    <row r="10" spans="1:8">
      <c r="A10" s="1185"/>
      <c r="B10" s="214"/>
      <c r="C10" s="241"/>
      <c r="D10" s="315"/>
      <c r="E10" s="251"/>
      <c r="F10" s="134"/>
      <c r="G10" s="364"/>
      <c r="H10" s="357"/>
    </row>
    <row r="11" spans="1:8">
      <c r="A11" s="34">
        <f>MAX(A$1:A10)+1</f>
        <v>2</v>
      </c>
      <c r="B11" s="214"/>
      <c r="C11" s="36" t="s">
        <v>228</v>
      </c>
      <c r="D11" s="37"/>
      <c r="E11" s="38" t="s">
        <v>229</v>
      </c>
      <c r="F11" s="39"/>
      <c r="G11" s="40" t="s">
        <v>18</v>
      </c>
      <c r="H11" s="351">
        <v>233.22000000000003</v>
      </c>
    </row>
    <row r="12" spans="1:8">
      <c r="A12" s="1185"/>
      <c r="B12" s="214"/>
      <c r="C12" s="241"/>
      <c r="D12" s="315"/>
      <c r="E12" s="251"/>
      <c r="F12" s="134">
        <f>F45</f>
        <v>233.22000000000003</v>
      </c>
      <c r="G12" s="364"/>
      <c r="H12" s="591"/>
    </row>
    <row r="13" spans="1:8">
      <c r="A13" s="1185"/>
      <c r="B13" s="214"/>
      <c r="C13" s="241"/>
      <c r="D13" s="315"/>
      <c r="E13" s="251"/>
      <c r="F13" s="1186"/>
      <c r="G13" s="364"/>
      <c r="H13" s="357"/>
    </row>
    <row r="14" spans="1:8" ht="25.5">
      <c r="A14" s="34">
        <f>MAX(A$1:A13)+1</f>
        <v>3</v>
      </c>
      <c r="B14" s="401"/>
      <c r="C14" s="36" t="s">
        <v>2506</v>
      </c>
      <c r="D14" s="37"/>
      <c r="E14" s="38" t="s">
        <v>2507</v>
      </c>
      <c r="F14" s="39"/>
      <c r="G14" s="370" t="s">
        <v>33</v>
      </c>
      <c r="H14" s="390">
        <v>2</v>
      </c>
    </row>
    <row r="15" spans="1:8">
      <c r="A15" s="34"/>
      <c r="B15" s="401"/>
      <c r="C15" s="36"/>
      <c r="D15" s="66" t="s">
        <v>2508</v>
      </c>
      <c r="E15" s="71" t="s">
        <v>2558</v>
      </c>
      <c r="F15" s="46" t="s">
        <v>693</v>
      </c>
      <c r="G15" s="62" t="s">
        <v>33</v>
      </c>
      <c r="H15" s="389">
        <v>2</v>
      </c>
    </row>
    <row r="16" spans="1:8">
      <c r="A16" s="400"/>
      <c r="B16" s="401"/>
      <c r="C16" s="379"/>
      <c r="D16" s="380"/>
      <c r="E16" s="402" t="s">
        <v>2559</v>
      </c>
      <c r="F16" s="403">
        <v>1</v>
      </c>
      <c r="G16" s="1187"/>
      <c r="H16" s="389"/>
    </row>
    <row r="17" spans="1:13">
      <c r="A17" s="400"/>
      <c r="B17" s="401"/>
      <c r="C17" s="379"/>
      <c r="D17" s="380"/>
      <c r="E17" s="402" t="s">
        <v>2560</v>
      </c>
      <c r="F17" s="404">
        <v>1</v>
      </c>
      <c r="G17" s="1187"/>
      <c r="H17" s="389"/>
    </row>
    <row r="18" spans="1:13">
      <c r="A18" s="400"/>
      <c r="B18" s="401"/>
      <c r="C18" s="379"/>
      <c r="D18" s="380"/>
      <c r="E18" s="405"/>
      <c r="F18" s="403">
        <f>SUM(F16:F17)</f>
        <v>2</v>
      </c>
      <c r="G18" s="1187"/>
      <c r="H18" s="389"/>
    </row>
    <row r="19" spans="1:13">
      <c r="A19" s="400"/>
      <c r="B19" s="401"/>
      <c r="C19" s="379"/>
      <c r="D19" s="380"/>
      <c r="E19" s="405"/>
      <c r="F19" s="403"/>
      <c r="G19" s="1187"/>
      <c r="H19" s="389"/>
    </row>
    <row r="20" spans="1:13" ht="25.5">
      <c r="A20" s="34">
        <f>MAX(A$1:A19)+1</f>
        <v>4</v>
      </c>
      <c r="B20" s="401"/>
      <c r="C20" s="36" t="s">
        <v>2561</v>
      </c>
      <c r="D20" s="37"/>
      <c r="E20" s="38" t="s">
        <v>2562</v>
      </c>
      <c r="F20" s="376"/>
      <c r="G20" s="377" t="s">
        <v>33</v>
      </c>
      <c r="H20" s="390">
        <v>5</v>
      </c>
    </row>
    <row r="21" spans="1:13">
      <c r="A21" s="400"/>
      <c r="B21" s="401"/>
      <c r="C21" s="373"/>
      <c r="D21" s="374"/>
      <c r="E21" s="402" t="s">
        <v>2563</v>
      </c>
      <c r="F21" s="403">
        <v>5</v>
      </c>
      <c r="G21" s="1188"/>
      <c r="H21" s="1189"/>
    </row>
    <row r="22" spans="1:13">
      <c r="A22" s="400"/>
      <c r="B22" s="401"/>
      <c r="C22" s="373"/>
      <c r="D22" s="374"/>
      <c r="E22" s="405"/>
      <c r="F22" s="403"/>
      <c r="G22" s="1188"/>
      <c r="H22" s="1189"/>
    </row>
    <row r="23" spans="1:13">
      <c r="A23" s="34">
        <f>MAX(A$1:A22)+1</f>
        <v>5</v>
      </c>
      <c r="B23" s="464"/>
      <c r="C23" s="36" t="s">
        <v>2819</v>
      </c>
      <c r="D23" s="37"/>
      <c r="E23" s="38" t="s">
        <v>2820</v>
      </c>
      <c r="F23" s="39"/>
      <c r="G23" s="40" t="s">
        <v>33</v>
      </c>
      <c r="H23" s="941">
        <v>1</v>
      </c>
      <c r="I23" s="942"/>
      <c r="J23"/>
      <c r="K23"/>
      <c r="L23"/>
      <c r="M23"/>
    </row>
    <row r="24" spans="1:13">
      <c r="A24" s="34"/>
      <c r="B24" s="464"/>
      <c r="C24" s="36"/>
      <c r="D24" s="37"/>
      <c r="E24" s="38"/>
      <c r="F24" s="46">
        <v>1</v>
      </c>
      <c r="G24" s="40"/>
      <c r="H24" s="943"/>
      <c r="I24" s="942"/>
      <c r="J24"/>
      <c r="K24"/>
      <c r="L24"/>
      <c r="M24"/>
    </row>
    <row r="25" spans="1:13">
      <c r="A25" s="34"/>
      <c r="B25" s="464"/>
      <c r="C25" s="36"/>
      <c r="D25" s="37"/>
      <c r="E25" s="38"/>
      <c r="F25" s="46"/>
      <c r="G25" s="40"/>
      <c r="H25" s="943"/>
      <c r="I25" s="942"/>
      <c r="J25"/>
      <c r="K25"/>
      <c r="L25"/>
      <c r="M25"/>
    </row>
    <row r="26" spans="1:13" ht="15.75">
      <c r="A26" s="355"/>
      <c r="B26" s="24" t="s">
        <v>19</v>
      </c>
      <c r="C26" s="48"/>
      <c r="D26" s="49"/>
      <c r="E26" s="50" t="s">
        <v>20</v>
      </c>
      <c r="F26" s="1190"/>
      <c r="G26" s="1191"/>
      <c r="H26" s="357"/>
    </row>
    <row r="27" spans="1:13">
      <c r="A27" s="355"/>
      <c r="B27" s="119"/>
      <c r="C27" s="119"/>
      <c r="D27" s="119"/>
      <c r="E27" s="323"/>
      <c r="F27" s="354"/>
      <c r="G27" s="364"/>
      <c r="H27" s="357"/>
    </row>
    <row r="28" spans="1:13">
      <c r="A28" s="34">
        <f>MAX(A$1:A27)+1</f>
        <v>6</v>
      </c>
      <c r="B28" s="43"/>
      <c r="C28" s="36" t="s">
        <v>67</v>
      </c>
      <c r="D28" s="37"/>
      <c r="E28" s="38" t="s">
        <v>68</v>
      </c>
      <c r="F28" s="321"/>
      <c r="G28" s="366" t="s">
        <v>18</v>
      </c>
      <c r="H28" s="356">
        <v>17.28</v>
      </c>
    </row>
    <row r="29" spans="1:13">
      <c r="A29" s="355"/>
      <c r="B29" s="43"/>
      <c r="C29" s="36"/>
      <c r="D29" s="37"/>
      <c r="E29" s="77" t="s">
        <v>632</v>
      </c>
      <c r="F29" s="46"/>
      <c r="G29" s="397" t="s">
        <v>18</v>
      </c>
      <c r="H29" s="357">
        <v>17.28</v>
      </c>
    </row>
    <row r="30" spans="1:13">
      <c r="A30" s="355"/>
      <c r="B30" s="43"/>
      <c r="C30" s="36"/>
      <c r="D30" s="37"/>
      <c r="E30" s="77" t="s">
        <v>2564</v>
      </c>
      <c r="F30" s="46">
        <f>(1.2*1.2*1)*12</f>
        <v>17.28</v>
      </c>
      <c r="G30" s="397"/>
      <c r="H30" s="357"/>
    </row>
    <row r="31" spans="1:13">
      <c r="A31" s="355"/>
      <c r="B31" s="43"/>
      <c r="C31" s="36"/>
      <c r="D31" s="37"/>
      <c r="E31" s="77"/>
      <c r="F31" s="46"/>
      <c r="G31" s="397"/>
      <c r="H31" s="357"/>
    </row>
    <row r="32" spans="1:13">
      <c r="A32" s="34">
        <f>MAX(A$1:A31)+1</f>
        <v>7</v>
      </c>
      <c r="B32" s="43"/>
      <c r="C32" s="36" t="s">
        <v>37</v>
      </c>
      <c r="D32" s="37"/>
      <c r="E32" s="38" t="s">
        <v>38</v>
      </c>
      <c r="F32" s="39"/>
      <c r="G32" s="40" t="s">
        <v>15</v>
      </c>
      <c r="H32" s="356">
        <v>38.020000000000003</v>
      </c>
    </row>
    <row r="33" spans="1:8">
      <c r="A33" s="355"/>
      <c r="B33" s="43"/>
      <c r="C33" s="36"/>
      <c r="D33" s="67" t="s">
        <v>39</v>
      </c>
      <c r="E33" s="71" t="s">
        <v>40</v>
      </c>
      <c r="F33" s="61"/>
      <c r="G33" s="62" t="s">
        <v>15</v>
      </c>
      <c r="H33" s="357">
        <v>38.020000000000003</v>
      </c>
    </row>
    <row r="34" spans="1:8">
      <c r="A34" s="355"/>
      <c r="B34" s="43"/>
      <c r="C34" s="36"/>
      <c r="D34" s="67"/>
      <c r="E34" s="84" t="s">
        <v>71</v>
      </c>
      <c r="F34" s="61"/>
      <c r="G34" s="369"/>
      <c r="H34" s="357"/>
    </row>
    <row r="35" spans="1:8">
      <c r="A35" s="355"/>
      <c r="B35" s="43"/>
      <c r="C35" s="36"/>
      <c r="D35" s="37"/>
      <c r="E35" s="77" t="s">
        <v>2565</v>
      </c>
      <c r="F35" s="46">
        <f>F30*2.2</f>
        <v>38.016000000000005</v>
      </c>
      <c r="G35" s="397"/>
      <c r="H35" s="357"/>
    </row>
    <row r="36" spans="1:8">
      <c r="A36" s="355"/>
      <c r="B36" s="43"/>
      <c r="C36" s="36"/>
      <c r="D36" s="37"/>
      <c r="E36" s="77"/>
      <c r="F36" s="46"/>
      <c r="G36" s="397"/>
      <c r="H36" s="357"/>
    </row>
    <row r="37" spans="1:8">
      <c r="A37" s="355"/>
      <c r="B37" s="35" t="s">
        <v>72</v>
      </c>
      <c r="C37" s="93"/>
      <c r="D37" s="94"/>
      <c r="E37" s="50" t="s">
        <v>73</v>
      </c>
      <c r="F37" s="304"/>
      <c r="G37" s="359"/>
      <c r="H37" s="357"/>
    </row>
    <row r="38" spans="1:8">
      <c r="A38" s="355"/>
      <c r="B38" s="126"/>
      <c r="C38" s="139"/>
      <c r="D38" s="37"/>
      <c r="E38" s="38"/>
      <c r="F38" s="304"/>
      <c r="G38" s="359"/>
      <c r="H38" s="357"/>
    </row>
    <row r="39" spans="1:8">
      <c r="A39" s="34">
        <f>MAX(A$1:A38)+1</f>
        <v>8</v>
      </c>
      <c r="B39" s="126"/>
      <c r="C39" s="36" t="s">
        <v>158</v>
      </c>
      <c r="D39" s="37"/>
      <c r="E39" s="38" t="s">
        <v>159</v>
      </c>
      <c r="F39" s="321"/>
      <c r="G39" s="366" t="s">
        <v>18</v>
      </c>
      <c r="H39" s="356">
        <v>932.88</v>
      </c>
    </row>
    <row r="40" spans="1:8">
      <c r="A40" s="355"/>
      <c r="B40" s="126"/>
      <c r="C40" s="66"/>
      <c r="D40" s="67" t="s">
        <v>160</v>
      </c>
      <c r="E40" s="71" t="s">
        <v>161</v>
      </c>
      <c r="F40" s="304"/>
      <c r="G40" s="359" t="s">
        <v>18</v>
      </c>
      <c r="H40" s="361">
        <v>932.88</v>
      </c>
    </row>
    <row r="41" spans="1:8">
      <c r="A41" s="355"/>
      <c r="B41" s="126"/>
      <c r="C41" s="66"/>
      <c r="D41" s="67"/>
      <c r="E41" s="65" t="s">
        <v>2566</v>
      </c>
      <c r="F41" s="46">
        <f>0.65*1.2*(1196)</f>
        <v>932.88</v>
      </c>
      <c r="G41" s="359"/>
      <c r="H41" s="361"/>
    </row>
    <row r="42" spans="1:8">
      <c r="A42" s="355"/>
      <c r="B42" s="126"/>
      <c r="C42" s="66"/>
      <c r="D42" s="67"/>
      <c r="E42" s="65"/>
      <c r="F42" s="46"/>
      <c r="G42" s="359"/>
      <c r="H42" s="361"/>
    </row>
    <row r="43" spans="1:8">
      <c r="A43" s="34">
        <f>MAX(A$1:A42)+1</f>
        <v>9</v>
      </c>
      <c r="B43" s="126"/>
      <c r="C43" s="36" t="s">
        <v>58</v>
      </c>
      <c r="D43" s="37"/>
      <c r="E43" s="38" t="s">
        <v>59</v>
      </c>
      <c r="F43" s="321"/>
      <c r="G43" s="366" t="s">
        <v>18</v>
      </c>
      <c r="H43" s="367">
        <v>233.22000000000003</v>
      </c>
    </row>
    <row r="44" spans="1:8">
      <c r="A44" s="355"/>
      <c r="B44" s="126"/>
      <c r="C44" s="66"/>
      <c r="D44" s="67" t="s">
        <v>60</v>
      </c>
      <c r="E44" s="71" t="s">
        <v>61</v>
      </c>
      <c r="F44" s="304"/>
      <c r="G44" s="359" t="s">
        <v>18</v>
      </c>
      <c r="H44" s="361">
        <v>233.22000000000003</v>
      </c>
    </row>
    <row r="45" spans="1:8">
      <c r="A45" s="355"/>
      <c r="B45" s="126"/>
      <c r="C45" s="66"/>
      <c r="D45" s="67"/>
      <c r="E45" s="231" t="s">
        <v>2567</v>
      </c>
      <c r="F45" s="46">
        <f>F68</f>
        <v>233.22000000000003</v>
      </c>
      <c r="G45" s="359"/>
      <c r="H45" s="361"/>
    </row>
    <row r="46" spans="1:8">
      <c r="A46" s="355"/>
      <c r="B46" s="126"/>
      <c r="C46" s="66"/>
      <c r="D46" s="67"/>
      <c r="E46" s="358"/>
      <c r="F46" s="368"/>
      <c r="G46" s="359"/>
      <c r="H46" s="361"/>
    </row>
    <row r="47" spans="1:8">
      <c r="A47" s="34">
        <f>MAX(A$1:A46)+1</f>
        <v>10</v>
      </c>
      <c r="B47" s="126"/>
      <c r="C47" s="36" t="s">
        <v>78</v>
      </c>
      <c r="D47" s="37"/>
      <c r="E47" s="38" t="s">
        <v>79</v>
      </c>
      <c r="F47" s="39"/>
      <c r="G47" s="40" t="s">
        <v>18</v>
      </c>
      <c r="H47" s="367">
        <v>699.66</v>
      </c>
    </row>
    <row r="48" spans="1:8">
      <c r="A48" s="355"/>
      <c r="B48" s="126"/>
      <c r="C48" s="379"/>
      <c r="D48" s="380" t="s">
        <v>80</v>
      </c>
      <c r="E48" s="381" t="s">
        <v>81</v>
      </c>
      <c r="F48" s="382"/>
      <c r="G48" s="383" t="s">
        <v>18</v>
      </c>
      <c r="H48" s="384">
        <v>699.66</v>
      </c>
    </row>
    <row r="49" spans="1:12">
      <c r="A49" s="355"/>
      <c r="B49" s="126"/>
      <c r="C49" s="379"/>
      <c r="D49" s="380"/>
      <c r="E49" s="385" t="s">
        <v>663</v>
      </c>
      <c r="F49" s="386"/>
      <c r="G49" s="383"/>
      <c r="H49" s="384"/>
    </row>
    <row r="50" spans="1:12">
      <c r="A50" s="355"/>
      <c r="B50" s="126"/>
      <c r="C50" s="379"/>
      <c r="D50" s="380"/>
      <c r="E50" s="231" t="s">
        <v>2568</v>
      </c>
      <c r="F50" s="46">
        <f>0.65*(1.2-0.3)*1196</f>
        <v>699.66</v>
      </c>
      <c r="G50" s="383"/>
      <c r="H50" s="384"/>
    </row>
    <row r="51" spans="1:12">
      <c r="A51" s="355"/>
      <c r="B51" s="126"/>
      <c r="C51" s="379"/>
      <c r="D51" s="380"/>
      <c r="E51" s="231"/>
      <c r="F51" s="46"/>
      <c r="G51" s="383"/>
      <c r="H51" s="384"/>
    </row>
    <row r="52" spans="1:12">
      <c r="A52" s="34">
        <f>MAX(A$1:A51)+1</f>
        <v>11</v>
      </c>
      <c r="B52" s="126"/>
      <c r="C52" s="373" t="s">
        <v>170</v>
      </c>
      <c r="D52" s="374"/>
      <c r="E52" s="375" t="s">
        <v>171</v>
      </c>
      <c r="F52" s="376"/>
      <c r="G52" s="377" t="s">
        <v>18</v>
      </c>
      <c r="H52" s="378">
        <v>233.22</v>
      </c>
    </row>
    <row r="53" spans="1:12">
      <c r="A53" s="355"/>
      <c r="B53" s="126"/>
      <c r="C53" s="373"/>
      <c r="D53" s="67" t="s">
        <v>172</v>
      </c>
      <c r="E53" s="71" t="s">
        <v>173</v>
      </c>
      <c r="F53" s="61"/>
      <c r="G53" s="369" t="s">
        <v>18</v>
      </c>
      <c r="H53" s="99">
        <v>233.22</v>
      </c>
      <c r="I53" s="1192"/>
      <c r="J53" s="1192"/>
      <c r="K53" s="1192"/>
      <c r="L53" s="1192"/>
    </row>
    <row r="54" spans="1:12">
      <c r="A54" s="355"/>
      <c r="B54" s="126"/>
      <c r="C54" s="373"/>
      <c r="D54" s="374"/>
      <c r="E54" s="398" t="s">
        <v>664</v>
      </c>
      <c r="F54" s="386"/>
      <c r="G54" s="377"/>
      <c r="H54" s="378"/>
    </row>
    <row r="55" spans="1:12">
      <c r="A55" s="355"/>
      <c r="B55" s="126"/>
      <c r="C55" s="373"/>
      <c r="D55" s="374"/>
      <c r="E55" s="231" t="s">
        <v>2569</v>
      </c>
      <c r="F55" s="46">
        <f>0.65*0.3*(1196)</f>
        <v>233.22</v>
      </c>
      <c r="G55" s="377"/>
      <c r="H55" s="378"/>
    </row>
    <row r="56" spans="1:12">
      <c r="A56" s="355"/>
      <c r="B56" s="126"/>
      <c r="C56" s="373"/>
      <c r="D56" s="374"/>
      <c r="E56" s="231"/>
      <c r="F56" s="46"/>
      <c r="G56" s="377"/>
      <c r="H56" s="378"/>
    </row>
    <row r="57" spans="1:12">
      <c r="A57" s="355"/>
      <c r="B57" s="126"/>
      <c r="C57" s="66"/>
      <c r="D57" s="67"/>
      <c r="E57" s="387" t="s">
        <v>639</v>
      </c>
      <c r="F57" s="388"/>
      <c r="G57" s="359"/>
      <c r="H57" s="361"/>
    </row>
    <row r="58" spans="1:12" ht="15.75">
      <c r="A58" s="355"/>
      <c r="B58" s="126"/>
      <c r="C58" s="153"/>
      <c r="D58" s="67"/>
      <c r="E58" s="387" t="s">
        <v>2570</v>
      </c>
      <c r="G58" s="359"/>
      <c r="H58" s="357"/>
    </row>
    <row r="59" spans="1:12" ht="15.75">
      <c r="A59" s="355"/>
      <c r="B59" s="126"/>
      <c r="C59" s="153"/>
      <c r="D59" s="67"/>
      <c r="E59" s="387"/>
      <c r="F59" s="386"/>
      <c r="G59" s="359"/>
      <c r="H59" s="357"/>
    </row>
    <row r="60" spans="1:12" ht="15.75">
      <c r="A60" s="355"/>
      <c r="B60" s="126"/>
      <c r="C60" s="153"/>
      <c r="D60" s="67"/>
      <c r="E60" s="387" t="s">
        <v>640</v>
      </c>
      <c r="F60" s="388"/>
      <c r="G60" s="359"/>
      <c r="H60" s="357"/>
    </row>
    <row r="61" spans="1:12" ht="15.75">
      <c r="A61" s="355"/>
      <c r="B61" s="126"/>
      <c r="C61" s="153"/>
      <c r="D61" s="67"/>
      <c r="E61" s="387" t="s">
        <v>2570</v>
      </c>
      <c r="F61" s="386"/>
      <c r="G61" s="359"/>
      <c r="H61" s="357"/>
    </row>
    <row r="62" spans="1:12" ht="15.75">
      <c r="A62" s="355"/>
      <c r="B62" s="126"/>
      <c r="C62" s="153"/>
      <c r="D62" s="67"/>
      <c r="E62" s="387"/>
      <c r="F62" s="399"/>
      <c r="G62" s="359"/>
      <c r="H62" s="357"/>
    </row>
    <row r="63" spans="1:12">
      <c r="A63" s="34">
        <f>MAX(A$1:A62)+1</f>
        <v>12</v>
      </c>
      <c r="B63" s="73"/>
      <c r="C63" s="36" t="s">
        <v>50</v>
      </c>
      <c r="D63" s="37"/>
      <c r="E63" s="38" t="s">
        <v>51</v>
      </c>
      <c r="F63" s="39"/>
      <c r="G63" s="40" t="s">
        <v>18</v>
      </c>
      <c r="H63" s="390">
        <v>233.22000000000003</v>
      </c>
    </row>
    <row r="64" spans="1:12" ht="25.5">
      <c r="A64" s="355"/>
      <c r="B64" s="73"/>
      <c r="C64" s="66"/>
      <c r="D64" s="67" t="s">
        <v>138</v>
      </c>
      <c r="E64" s="71" t="s">
        <v>139</v>
      </c>
      <c r="F64" s="61"/>
      <c r="G64" s="62" t="s">
        <v>18</v>
      </c>
      <c r="H64" s="389">
        <v>233.22000000000003</v>
      </c>
    </row>
    <row r="65" spans="1:8">
      <c r="A65" s="355"/>
      <c r="B65" s="73"/>
      <c r="C65" s="379"/>
      <c r="D65" s="380"/>
      <c r="E65" s="257" t="s">
        <v>2571</v>
      </c>
      <c r="F65" s="46"/>
      <c r="G65" s="383"/>
      <c r="H65" s="389"/>
    </row>
    <row r="66" spans="1:8">
      <c r="A66" s="355"/>
      <c r="B66" s="73"/>
      <c r="C66" s="379"/>
      <c r="D66" s="380"/>
      <c r="E66" s="231" t="s">
        <v>66</v>
      </c>
      <c r="F66" s="46">
        <f>F41</f>
        <v>932.88</v>
      </c>
      <c r="G66" s="383"/>
      <c r="H66" s="389"/>
    </row>
    <row r="67" spans="1:8">
      <c r="A67" s="355"/>
      <c r="B67" s="73"/>
      <c r="C67" s="379"/>
      <c r="D67" s="380"/>
      <c r="E67" s="231" t="s">
        <v>82</v>
      </c>
      <c r="F67" s="69">
        <f>-F50</f>
        <v>-699.66</v>
      </c>
      <c r="G67" s="383"/>
      <c r="H67" s="389"/>
    </row>
    <row r="68" spans="1:8">
      <c r="A68" s="355"/>
      <c r="B68" s="73"/>
      <c r="C68" s="379"/>
      <c r="D68" s="380"/>
      <c r="E68" s="231"/>
      <c r="F68" s="46">
        <f>SUM(F66:F67)</f>
        <v>233.22000000000003</v>
      </c>
      <c r="G68" s="383"/>
      <c r="H68" s="389"/>
    </row>
    <row r="69" spans="1:8">
      <c r="A69" s="355"/>
      <c r="B69" s="73"/>
      <c r="C69" s="379"/>
      <c r="D69" s="380"/>
      <c r="E69" s="231"/>
      <c r="F69" s="46"/>
      <c r="G69" s="383"/>
      <c r="H69" s="389"/>
    </row>
    <row r="70" spans="1:8" ht="25.5">
      <c r="A70" s="355"/>
      <c r="B70" s="35" t="s">
        <v>270</v>
      </c>
      <c r="C70" s="35"/>
      <c r="D70" s="94"/>
      <c r="E70" s="211" t="s">
        <v>271</v>
      </c>
      <c r="F70" s="46"/>
      <c r="G70" s="359"/>
      <c r="H70" s="357"/>
    </row>
    <row r="71" spans="1:8">
      <c r="A71" s="355"/>
      <c r="B71" s="73"/>
      <c r="C71" s="66"/>
      <c r="D71" s="67"/>
      <c r="E71" s="65"/>
      <c r="F71" s="46"/>
      <c r="G71" s="359"/>
      <c r="H71" s="357"/>
    </row>
    <row r="72" spans="1:8" ht="25.5">
      <c r="A72" s="34">
        <f>MAX(A$1:A71)+1</f>
        <v>13</v>
      </c>
      <c r="B72" s="73"/>
      <c r="C72" s="36" t="s">
        <v>576</v>
      </c>
      <c r="D72" s="37"/>
      <c r="E72" s="38" t="s">
        <v>577</v>
      </c>
      <c r="F72" s="321"/>
      <c r="G72" s="366" t="s">
        <v>36</v>
      </c>
      <c r="H72" s="367">
        <v>816</v>
      </c>
    </row>
    <row r="73" spans="1:8" ht="25.5">
      <c r="A73" s="355"/>
      <c r="B73" s="73"/>
      <c r="C73" s="66"/>
      <c r="D73" s="67" t="s">
        <v>578</v>
      </c>
      <c r="E73" s="71" t="s">
        <v>579</v>
      </c>
      <c r="F73" s="304"/>
      <c r="G73" s="359" t="s">
        <v>36</v>
      </c>
      <c r="H73" s="361">
        <v>816</v>
      </c>
    </row>
    <row r="74" spans="1:8">
      <c r="A74" s="355"/>
      <c r="B74" s="73"/>
      <c r="C74" s="66"/>
      <c r="D74" s="67"/>
      <c r="E74" s="84" t="s">
        <v>643</v>
      </c>
      <c r="F74" s="304"/>
      <c r="G74" s="359"/>
      <c r="H74" s="361"/>
    </row>
    <row r="75" spans="1:8">
      <c r="A75" s="355"/>
      <c r="B75" s="73"/>
      <c r="C75" s="66"/>
      <c r="D75" s="67"/>
      <c r="E75" s="65" t="s">
        <v>2572</v>
      </c>
      <c r="F75" s="46">
        <v>636</v>
      </c>
      <c r="G75" s="359"/>
      <c r="H75" s="361"/>
    </row>
    <row r="76" spans="1:8">
      <c r="A76" s="355"/>
      <c r="B76" s="73"/>
      <c r="C76" s="66"/>
      <c r="D76" s="67"/>
      <c r="E76" s="65" t="s">
        <v>2573</v>
      </c>
      <c r="F76" s="69">
        <v>180</v>
      </c>
      <c r="G76" s="359"/>
      <c r="H76" s="361"/>
    </row>
    <row r="77" spans="1:8">
      <c r="A77" s="355"/>
      <c r="B77" s="73"/>
      <c r="C77" s="66"/>
      <c r="D77" s="67"/>
      <c r="E77" s="65"/>
      <c r="F77" s="46">
        <f>SUM(F75:F76)</f>
        <v>816</v>
      </c>
      <c r="G77" s="359"/>
      <c r="H77" s="361"/>
    </row>
    <row r="78" spans="1:8">
      <c r="A78" s="355"/>
      <c r="B78" s="73"/>
      <c r="C78" s="66"/>
      <c r="D78" s="67"/>
      <c r="E78" s="65"/>
      <c r="F78" s="46"/>
      <c r="G78" s="359"/>
      <c r="H78" s="361"/>
    </row>
    <row r="79" spans="1:8">
      <c r="A79" s="355"/>
      <c r="B79" s="35" t="s">
        <v>416</v>
      </c>
      <c r="C79" s="35"/>
      <c r="D79" s="94"/>
      <c r="E79" s="50" t="s">
        <v>417</v>
      </c>
      <c r="F79" s="46"/>
      <c r="G79" s="359"/>
      <c r="H79" s="361"/>
    </row>
    <row r="80" spans="1:8">
      <c r="A80" s="355"/>
      <c r="B80" s="73"/>
      <c r="C80" s="66"/>
      <c r="D80" s="67"/>
      <c r="E80" s="65"/>
      <c r="F80" s="46"/>
      <c r="G80" s="359"/>
      <c r="H80" s="361"/>
    </row>
    <row r="81" spans="1:8" ht="25.5">
      <c r="A81" s="34">
        <f>MAX(A$1:A80)+1</f>
        <v>14</v>
      </c>
      <c r="B81" s="73"/>
      <c r="C81" s="36" t="s">
        <v>387</v>
      </c>
      <c r="D81" s="66"/>
      <c r="E81" s="38" t="s">
        <v>388</v>
      </c>
      <c r="F81" s="39"/>
      <c r="G81" s="40" t="s">
        <v>18</v>
      </c>
      <c r="H81" s="367">
        <v>9</v>
      </c>
    </row>
    <row r="82" spans="1:8" ht="25.5">
      <c r="A82" s="355"/>
      <c r="B82" s="73"/>
      <c r="C82" s="66"/>
      <c r="D82" s="191" t="s">
        <v>391</v>
      </c>
      <c r="E82" s="193" t="s">
        <v>392</v>
      </c>
      <c r="F82" s="192"/>
      <c r="G82" s="32" t="s">
        <v>18</v>
      </c>
      <c r="H82" s="361">
        <v>9</v>
      </c>
    </row>
    <row r="83" spans="1:8">
      <c r="A83" s="355"/>
      <c r="B83" s="73"/>
      <c r="C83" s="66"/>
      <c r="D83" s="67"/>
      <c r="E83" s="84" t="s">
        <v>2574</v>
      </c>
      <c r="F83" s="46"/>
      <c r="G83" s="359"/>
      <c r="H83" s="361"/>
    </row>
    <row r="84" spans="1:8">
      <c r="A84" s="355"/>
      <c r="B84" s="73"/>
      <c r="C84" s="66"/>
      <c r="D84" s="67"/>
      <c r="E84" s="65" t="s">
        <v>2575</v>
      </c>
      <c r="F84" s="46">
        <v>9</v>
      </c>
      <c r="G84" s="359"/>
      <c r="H84" s="361"/>
    </row>
    <row r="85" spans="1:8">
      <c r="A85" s="355"/>
      <c r="B85" s="73"/>
      <c r="C85" s="198"/>
      <c r="D85" s="199"/>
      <c r="E85" s="71"/>
      <c r="F85" s="304"/>
      <c r="G85" s="359"/>
      <c r="H85" s="361"/>
    </row>
    <row r="86" spans="1:8">
      <c r="A86" s="355"/>
      <c r="B86" s="35" t="s">
        <v>624</v>
      </c>
      <c r="C86" s="35"/>
      <c r="D86" s="94"/>
      <c r="E86" s="50" t="s">
        <v>625</v>
      </c>
      <c r="F86" s="304"/>
      <c r="G86" s="359"/>
      <c r="H86" s="361"/>
    </row>
    <row r="87" spans="1:8">
      <c r="A87" s="355"/>
      <c r="B87" s="73"/>
      <c r="C87" s="66"/>
      <c r="D87" s="67"/>
      <c r="E87" s="71"/>
      <c r="F87" s="304"/>
      <c r="G87" s="359"/>
      <c r="H87" s="361"/>
    </row>
    <row r="88" spans="1:8">
      <c r="A88" s="34">
        <f>MAX(A$1:A87)+1</f>
        <v>15</v>
      </c>
      <c r="B88" s="194"/>
      <c r="C88" s="195">
        <v>91090201</v>
      </c>
      <c r="D88" s="196"/>
      <c r="E88" s="38" t="s">
        <v>626</v>
      </c>
      <c r="F88" s="321"/>
      <c r="G88" s="366" t="s">
        <v>36</v>
      </c>
      <c r="H88" s="367">
        <v>560</v>
      </c>
    </row>
    <row r="89" spans="1:8">
      <c r="A89" s="355"/>
      <c r="B89" s="197"/>
      <c r="C89" s="198"/>
      <c r="D89" s="199">
        <v>9109020102</v>
      </c>
      <c r="E89" s="71" t="s">
        <v>655</v>
      </c>
      <c r="F89" s="304"/>
      <c r="G89" s="359" t="s">
        <v>36</v>
      </c>
      <c r="H89" s="361">
        <v>380</v>
      </c>
    </row>
    <row r="90" spans="1:8">
      <c r="A90" s="355"/>
      <c r="B90" s="197"/>
      <c r="C90" s="198"/>
      <c r="D90" s="199"/>
      <c r="E90" s="65" t="s">
        <v>686</v>
      </c>
      <c r="F90" s="46">
        <v>380</v>
      </c>
      <c r="G90" s="359"/>
      <c r="H90" s="361"/>
    </row>
    <row r="91" spans="1:8">
      <c r="A91" s="355"/>
      <c r="B91" s="197"/>
      <c r="C91" s="198"/>
      <c r="D91" s="199">
        <v>9109020108</v>
      </c>
      <c r="E91" s="71" t="s">
        <v>656</v>
      </c>
      <c r="F91" s="304"/>
      <c r="G91" s="359" t="s">
        <v>36</v>
      </c>
      <c r="H91" s="361">
        <v>180</v>
      </c>
    </row>
    <row r="92" spans="1:8">
      <c r="A92" s="355"/>
      <c r="B92" s="73"/>
      <c r="C92" s="66"/>
      <c r="D92" s="67"/>
      <c r="E92" s="65" t="s">
        <v>687</v>
      </c>
      <c r="F92" s="46">
        <v>180</v>
      </c>
      <c r="G92" s="359"/>
      <c r="H92" s="361"/>
    </row>
    <row r="93" spans="1:8">
      <c r="A93" s="355"/>
      <c r="B93" s="73"/>
      <c r="C93" s="66"/>
      <c r="D93" s="67"/>
      <c r="E93" s="65"/>
      <c r="F93" s="46"/>
      <c r="G93" s="359"/>
      <c r="H93" s="361"/>
    </row>
    <row r="94" spans="1:8">
      <c r="A94" s="34">
        <f>MAX(A$1:A93)+1</f>
        <v>16</v>
      </c>
      <c r="B94" s="194"/>
      <c r="C94" s="195">
        <v>91090211</v>
      </c>
      <c r="D94" s="196"/>
      <c r="E94" s="38" t="s">
        <v>657</v>
      </c>
      <c r="F94" s="321"/>
      <c r="G94" s="366" t="s">
        <v>36</v>
      </c>
      <c r="H94" s="367">
        <v>380</v>
      </c>
    </row>
    <row r="95" spans="1:8">
      <c r="A95" s="355"/>
      <c r="B95" s="197"/>
      <c r="C95" s="198"/>
      <c r="D95" s="199">
        <v>9109021101</v>
      </c>
      <c r="E95" s="71" t="s">
        <v>658</v>
      </c>
      <c r="F95" s="304"/>
      <c r="G95" s="359" t="s">
        <v>36</v>
      </c>
      <c r="H95" s="361">
        <v>380</v>
      </c>
    </row>
    <row r="96" spans="1:8">
      <c r="A96" s="355"/>
      <c r="B96" s="73"/>
      <c r="C96" s="66"/>
      <c r="D96" s="67"/>
      <c r="E96" s="65" t="s">
        <v>659</v>
      </c>
      <c r="F96" s="46">
        <v>380</v>
      </c>
      <c r="G96" s="359"/>
      <c r="H96" s="361"/>
    </row>
    <row r="97" spans="1:8">
      <c r="A97" s="355"/>
      <c r="B97" s="73"/>
      <c r="C97" s="66"/>
      <c r="D97" s="67"/>
      <c r="E97" s="71"/>
      <c r="F97" s="304"/>
      <c r="G97" s="359"/>
      <c r="H97" s="361"/>
    </row>
    <row r="98" spans="1:8">
      <c r="A98" s="34">
        <f>MAX(A$1:A97)+1</f>
        <v>17</v>
      </c>
      <c r="B98" s="194"/>
      <c r="C98" s="195">
        <v>91090212</v>
      </c>
      <c r="D98" s="196"/>
      <c r="E98" s="38" t="s">
        <v>660</v>
      </c>
      <c r="F98" s="321"/>
      <c r="G98" s="366" t="s">
        <v>36</v>
      </c>
      <c r="H98" s="367">
        <v>180</v>
      </c>
    </row>
    <row r="99" spans="1:8">
      <c r="A99" s="355"/>
      <c r="B99" s="197"/>
      <c r="C99" s="198"/>
      <c r="D99" s="199">
        <v>9109021201</v>
      </c>
      <c r="E99" s="71" t="s">
        <v>661</v>
      </c>
      <c r="F99" s="304"/>
      <c r="G99" s="359" t="s">
        <v>36</v>
      </c>
      <c r="H99" s="361">
        <v>180</v>
      </c>
    </row>
    <row r="100" spans="1:8">
      <c r="A100" s="355"/>
      <c r="B100" s="73"/>
      <c r="C100" s="66"/>
      <c r="D100" s="67"/>
      <c r="E100" s="65" t="s">
        <v>670</v>
      </c>
      <c r="F100" s="46">
        <v>180</v>
      </c>
      <c r="G100" s="359"/>
      <c r="H100" s="361"/>
    </row>
    <row r="101" spans="1:8">
      <c r="A101" s="355"/>
      <c r="B101" s="73"/>
      <c r="C101" s="66"/>
      <c r="D101" s="67"/>
      <c r="E101" s="71"/>
      <c r="F101" s="304"/>
      <c r="G101" s="359"/>
      <c r="H101" s="361"/>
    </row>
    <row r="102" spans="1:8" ht="25.5">
      <c r="A102" s="34">
        <f>MAX(A$1:A101)+1</f>
        <v>18</v>
      </c>
      <c r="B102" s="194"/>
      <c r="C102" s="195">
        <v>91100203</v>
      </c>
      <c r="D102" s="196"/>
      <c r="E102" s="38" t="s">
        <v>627</v>
      </c>
      <c r="F102" s="321"/>
      <c r="G102" s="366" t="s">
        <v>33</v>
      </c>
      <c r="H102" s="367">
        <v>18</v>
      </c>
    </row>
    <row r="103" spans="1:8" ht="25.5">
      <c r="A103" s="355"/>
      <c r="B103" s="197"/>
      <c r="C103" s="198"/>
      <c r="D103" s="199">
        <v>9110020301</v>
      </c>
      <c r="E103" s="71" t="s">
        <v>662</v>
      </c>
      <c r="F103" s="304"/>
      <c r="G103" s="359" t="s">
        <v>33</v>
      </c>
      <c r="H103" s="361">
        <v>18</v>
      </c>
    </row>
    <row r="104" spans="1:8">
      <c r="A104" s="355"/>
      <c r="B104" s="73"/>
      <c r="C104" s="66"/>
      <c r="D104" s="67"/>
      <c r="E104" s="65" t="s">
        <v>2576</v>
      </c>
      <c r="F104" s="46">
        <v>18</v>
      </c>
      <c r="G104" s="359"/>
      <c r="H104" s="361"/>
    </row>
    <row r="105" spans="1:8">
      <c r="A105" s="355"/>
      <c r="B105" s="73"/>
      <c r="C105" s="66"/>
      <c r="D105" s="67"/>
      <c r="E105" s="71"/>
      <c r="F105" s="304"/>
      <c r="G105" s="359"/>
      <c r="H105" s="361"/>
    </row>
    <row r="106" spans="1:8" ht="15.75" thickBot="1">
      <c r="A106" s="362"/>
      <c r="B106" s="346"/>
      <c r="C106" s="391"/>
      <c r="D106" s="392"/>
      <c r="E106" s="393"/>
      <c r="F106" s="394"/>
      <c r="G106" s="395"/>
      <c r="H106" s="371"/>
    </row>
  </sheetData>
  <sheetProtection algorithmName="SHA-512" hashValue="enVdWuQUMqOBUJsQjjWr6WwM6Ga1RDg+gUt4Gf8AQGRKNVo+8RHZTId/Fey5sdNuUAnyqErBHLPEFgaIOk+9xQ==" saltValue="j+ysUPNcMGiIHAWvx/YB2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68BC6-2B8F-4F6C-A2AA-1192A3B476A5}">
  <sheetPr codeName="Hárok31"/>
  <dimension ref="A1:M12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2.140625" style="111" customWidth="1"/>
    <col min="5" max="5" width="52.7109375" style="111" customWidth="1"/>
    <col min="6" max="6" width="9.85546875" style="6" customWidth="1"/>
    <col min="7" max="7" width="5.7109375" style="324" customWidth="1"/>
    <col min="8" max="8" width="10.140625" style="113" customWidth="1"/>
    <col min="9" max="9" width="11.7109375" style="602" customWidth="1"/>
    <col min="10" max="11" width="9.140625" style="602"/>
    <col min="12" max="13" width="9.140625" style="208"/>
  </cols>
  <sheetData>
    <row r="1" spans="1:8">
      <c r="A1" s="2" t="s">
        <v>1</v>
      </c>
      <c r="B1" s="2"/>
      <c r="C1" s="3"/>
      <c r="D1" s="4"/>
      <c r="E1" s="4" t="s">
        <v>2578</v>
      </c>
      <c r="F1" s="396"/>
      <c r="G1" s="326"/>
    </row>
    <row r="2" spans="1:8" ht="15.75" thickBot="1">
      <c r="A2" s="9" t="s">
        <v>2</v>
      </c>
      <c r="B2" s="2"/>
      <c r="C2" s="3"/>
      <c r="D2" s="4"/>
      <c r="E2" s="10">
        <v>2224</v>
      </c>
      <c r="G2" s="372"/>
      <c r="H2" s="1193"/>
    </row>
    <row r="3" spans="1:8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8">
      <c r="A5" s="363"/>
      <c r="B5" s="908"/>
      <c r="C5" s="908"/>
      <c r="D5" s="908"/>
      <c r="E5" s="687"/>
      <c r="F5" s="1194"/>
      <c r="G5" s="1195"/>
      <c r="H5" s="1196"/>
    </row>
    <row r="6" spans="1:8">
      <c r="A6" s="1185"/>
      <c r="B6" s="24" t="s">
        <v>11</v>
      </c>
      <c r="C6" s="25"/>
      <c r="D6" s="26"/>
      <c r="E6" s="27" t="s">
        <v>12</v>
      </c>
      <c r="F6" s="1186"/>
      <c r="G6" s="364"/>
      <c r="H6" s="591"/>
    </row>
    <row r="7" spans="1:8">
      <c r="A7" s="1185"/>
      <c r="B7" s="214"/>
      <c r="C7" s="241"/>
      <c r="D7" s="315"/>
      <c r="E7" s="251"/>
      <c r="F7" s="1186"/>
      <c r="G7" s="364"/>
      <c r="H7" s="591"/>
    </row>
    <row r="8" spans="1:8" ht="25.5">
      <c r="A8" s="34">
        <f>MAX(A$1:A7)+1</f>
        <v>1</v>
      </c>
      <c r="B8" s="214"/>
      <c r="C8" s="36" t="s">
        <v>13</v>
      </c>
      <c r="D8" s="37"/>
      <c r="E8" s="38" t="s">
        <v>14</v>
      </c>
      <c r="F8" s="39"/>
      <c r="G8" s="40" t="s">
        <v>15</v>
      </c>
      <c r="H8" s="351">
        <v>9.5</v>
      </c>
    </row>
    <row r="9" spans="1:8">
      <c r="A9" s="1185"/>
      <c r="B9" s="214"/>
      <c r="C9" s="241"/>
      <c r="D9" s="315"/>
      <c r="E9" s="251"/>
      <c r="F9" s="134">
        <f>F32</f>
        <v>9.5040000000000013</v>
      </c>
      <c r="G9" s="364"/>
      <c r="H9" s="591"/>
    </row>
    <row r="10" spans="1:8">
      <c r="A10" s="1185"/>
      <c r="B10" s="214"/>
      <c r="C10" s="241"/>
      <c r="D10" s="315"/>
      <c r="E10" s="251"/>
      <c r="F10" s="134"/>
      <c r="G10" s="364"/>
      <c r="H10" s="591"/>
    </row>
    <row r="11" spans="1:8">
      <c r="A11" s="34">
        <f>MAX(A$1:A10)+1</f>
        <v>2</v>
      </c>
      <c r="B11" s="214"/>
      <c r="C11" s="36" t="s">
        <v>228</v>
      </c>
      <c r="D11" s="37"/>
      <c r="E11" s="38" t="s">
        <v>229</v>
      </c>
      <c r="F11" s="39"/>
      <c r="G11" s="40" t="s">
        <v>18</v>
      </c>
      <c r="H11" s="351">
        <v>79.950000000000017</v>
      </c>
    </row>
    <row r="12" spans="1:8">
      <c r="A12" s="1185"/>
      <c r="B12" s="214"/>
      <c r="C12" s="241"/>
      <c r="D12" s="315"/>
      <c r="E12" s="251"/>
      <c r="F12" s="134">
        <f>F42</f>
        <v>79.950000000000017</v>
      </c>
      <c r="G12" s="364"/>
      <c r="H12" s="591"/>
    </row>
    <row r="13" spans="1:8">
      <c r="A13" s="1185"/>
      <c r="B13" s="214"/>
      <c r="C13" s="241"/>
      <c r="D13" s="315"/>
      <c r="E13" s="251"/>
      <c r="F13" s="1186"/>
      <c r="G13" s="364"/>
      <c r="H13" s="591"/>
    </row>
    <row r="14" spans="1:8" ht="25.5">
      <c r="A14" s="34">
        <f>MAX(A$1:A13)+1</f>
        <v>3</v>
      </c>
      <c r="B14" s="401"/>
      <c r="C14" s="36" t="s">
        <v>2506</v>
      </c>
      <c r="D14" s="37"/>
      <c r="E14" s="38" t="s">
        <v>2507</v>
      </c>
      <c r="F14" s="39"/>
      <c r="G14" s="370" t="s">
        <v>33</v>
      </c>
      <c r="H14" s="1197">
        <v>2</v>
      </c>
    </row>
    <row r="15" spans="1:8">
      <c r="A15" s="400"/>
      <c r="B15" s="401"/>
      <c r="C15" s="36"/>
      <c r="D15" s="66" t="s">
        <v>2508</v>
      </c>
      <c r="E15" s="71" t="s">
        <v>2558</v>
      </c>
      <c r="F15" s="46" t="s">
        <v>693</v>
      </c>
      <c r="G15" s="62" t="s">
        <v>33</v>
      </c>
      <c r="H15" s="1198">
        <v>2</v>
      </c>
    </row>
    <row r="16" spans="1:8">
      <c r="A16" s="400"/>
      <c r="B16" s="401"/>
      <c r="C16" s="379"/>
      <c r="D16" s="380"/>
      <c r="E16" s="402" t="s">
        <v>2559</v>
      </c>
      <c r="F16" s="403">
        <v>1</v>
      </c>
      <c r="G16" s="1187"/>
      <c r="H16" s="1198"/>
    </row>
    <row r="17" spans="1:13">
      <c r="A17" s="400"/>
      <c r="B17" s="401"/>
      <c r="C17" s="379"/>
      <c r="D17" s="380"/>
      <c r="E17" s="402" t="s">
        <v>2560</v>
      </c>
      <c r="F17" s="404">
        <v>1</v>
      </c>
      <c r="G17" s="1187"/>
      <c r="H17" s="1198"/>
    </row>
    <row r="18" spans="1:13">
      <c r="A18" s="400"/>
      <c r="B18" s="401"/>
      <c r="C18" s="379"/>
      <c r="D18" s="380"/>
      <c r="E18" s="405"/>
      <c r="F18" s="403">
        <f>SUM(F16:F17)</f>
        <v>2</v>
      </c>
      <c r="G18" s="1187"/>
      <c r="H18" s="1198"/>
    </row>
    <row r="19" spans="1:13">
      <c r="A19" s="400"/>
      <c r="B19" s="401"/>
      <c r="C19" s="379"/>
      <c r="D19" s="380"/>
      <c r="E19" s="405"/>
      <c r="F19" s="403"/>
      <c r="G19" s="1187"/>
      <c r="H19" s="1198"/>
    </row>
    <row r="20" spans="1:13">
      <c r="A20" s="34">
        <f>MAX(A$1:A19)+1</f>
        <v>4</v>
      </c>
      <c r="B20" s="464"/>
      <c r="C20" s="36" t="s">
        <v>2819</v>
      </c>
      <c r="D20" s="37"/>
      <c r="E20" s="38" t="s">
        <v>2820</v>
      </c>
      <c r="F20" s="39"/>
      <c r="G20" s="40" t="s">
        <v>33</v>
      </c>
      <c r="H20" s="941">
        <v>1</v>
      </c>
      <c r="I20" s="942"/>
      <c r="J20"/>
      <c r="K20"/>
      <c r="L20"/>
      <c r="M20"/>
    </row>
    <row r="21" spans="1:13">
      <c r="A21" s="34"/>
      <c r="B21" s="464"/>
      <c r="C21" s="36"/>
      <c r="D21" s="37"/>
      <c r="E21" s="38"/>
      <c r="F21" s="46">
        <v>1</v>
      </c>
      <c r="G21" s="40"/>
      <c r="H21" s="943"/>
      <c r="I21" s="942"/>
      <c r="J21"/>
      <c r="K21"/>
      <c r="L21"/>
      <c r="M21"/>
    </row>
    <row r="22" spans="1:13">
      <c r="A22" s="355"/>
      <c r="B22" s="43"/>
      <c r="C22" s="36"/>
      <c r="D22" s="37"/>
      <c r="E22" s="38"/>
      <c r="F22" s="321"/>
      <c r="G22" s="366"/>
      <c r="H22" s="351"/>
    </row>
    <row r="23" spans="1:13" ht="15.75">
      <c r="A23" s="355"/>
      <c r="B23" s="24" t="s">
        <v>19</v>
      </c>
      <c r="C23" s="48"/>
      <c r="D23" s="49"/>
      <c r="E23" s="50" t="s">
        <v>20</v>
      </c>
      <c r="F23" s="1190"/>
      <c r="G23" s="1191"/>
      <c r="H23" s="274"/>
    </row>
    <row r="24" spans="1:13">
      <c r="A24" s="355"/>
      <c r="B24" s="119"/>
      <c r="C24" s="119"/>
      <c r="D24" s="119"/>
      <c r="E24" s="323"/>
      <c r="F24" s="354"/>
      <c r="G24" s="364"/>
      <c r="H24" s="274"/>
    </row>
    <row r="25" spans="1:13">
      <c r="A25" s="34">
        <f>MAX(A$1:A24)+1</f>
        <v>5</v>
      </c>
      <c r="B25" s="43"/>
      <c r="C25" s="36" t="s">
        <v>67</v>
      </c>
      <c r="D25" s="37"/>
      <c r="E25" s="38" t="s">
        <v>68</v>
      </c>
      <c r="F25" s="321"/>
      <c r="G25" s="366" t="s">
        <v>18</v>
      </c>
      <c r="H25" s="351">
        <v>4.32</v>
      </c>
    </row>
    <row r="26" spans="1:13">
      <c r="A26" s="355"/>
      <c r="B26" s="43"/>
      <c r="C26" s="36"/>
      <c r="D26" s="37"/>
      <c r="E26" s="77" t="s">
        <v>2579</v>
      </c>
      <c r="F26" s="46"/>
      <c r="G26" s="397" t="s">
        <v>18</v>
      </c>
      <c r="H26" s="274">
        <v>4.32</v>
      </c>
    </row>
    <row r="27" spans="1:13">
      <c r="A27" s="355"/>
      <c r="B27" s="43"/>
      <c r="C27" s="36"/>
      <c r="D27" s="37"/>
      <c r="E27" s="77" t="s">
        <v>2580</v>
      </c>
      <c r="F27" s="46">
        <v>4.32</v>
      </c>
      <c r="G27" s="397"/>
      <c r="H27" s="274"/>
    </row>
    <row r="28" spans="1:13">
      <c r="A28" s="355"/>
      <c r="B28" s="43"/>
      <c r="C28" s="36"/>
      <c r="D28" s="37"/>
      <c r="E28" s="77"/>
      <c r="F28" s="46"/>
      <c r="G28" s="397"/>
      <c r="H28" s="274"/>
    </row>
    <row r="29" spans="1:13">
      <c r="A29" s="34">
        <f>MAX(A$1:A28)+1</f>
        <v>6</v>
      </c>
      <c r="B29" s="43"/>
      <c r="C29" s="36" t="s">
        <v>37</v>
      </c>
      <c r="D29" s="37"/>
      <c r="E29" s="38" t="s">
        <v>38</v>
      </c>
      <c r="F29" s="39"/>
      <c r="G29" s="40" t="s">
        <v>15</v>
      </c>
      <c r="H29" s="351">
        <v>9.5</v>
      </c>
    </row>
    <row r="30" spans="1:13">
      <c r="A30" s="355"/>
      <c r="B30" s="43"/>
      <c r="C30" s="36"/>
      <c r="D30" s="67" t="s">
        <v>39</v>
      </c>
      <c r="E30" s="71" t="s">
        <v>40</v>
      </c>
      <c r="F30" s="61"/>
      <c r="G30" s="62" t="s">
        <v>15</v>
      </c>
      <c r="H30" s="274">
        <v>9.5</v>
      </c>
    </row>
    <row r="31" spans="1:13">
      <c r="A31" s="355"/>
      <c r="B31" s="43"/>
      <c r="C31" s="36"/>
      <c r="D31" s="37"/>
      <c r="E31" s="121" t="s">
        <v>71</v>
      </c>
      <c r="F31" s="46"/>
      <c r="G31" s="397"/>
      <c r="H31" s="274"/>
    </row>
    <row r="32" spans="1:13">
      <c r="A32" s="355"/>
      <c r="B32" s="43"/>
      <c r="C32" s="36"/>
      <c r="D32" s="37"/>
      <c r="E32" s="77" t="s">
        <v>2581</v>
      </c>
      <c r="F32" s="46">
        <f>F27*2.2</f>
        <v>9.5040000000000013</v>
      </c>
      <c r="G32" s="397"/>
      <c r="H32" s="274"/>
    </row>
    <row r="33" spans="1:8">
      <c r="A33" s="355"/>
      <c r="B33" s="73"/>
      <c r="C33" s="66"/>
      <c r="D33" s="67"/>
      <c r="E33" s="71"/>
      <c r="F33" s="304"/>
      <c r="G33" s="359"/>
      <c r="H33" s="274"/>
    </row>
    <row r="34" spans="1:8">
      <c r="A34" s="355"/>
      <c r="B34" s="35" t="s">
        <v>72</v>
      </c>
      <c r="C34" s="93"/>
      <c r="D34" s="94"/>
      <c r="E34" s="50" t="s">
        <v>73</v>
      </c>
      <c r="F34" s="304"/>
      <c r="G34" s="359"/>
      <c r="H34" s="274"/>
    </row>
    <row r="35" spans="1:8">
      <c r="A35" s="355"/>
      <c r="B35" s="126"/>
      <c r="C35" s="139"/>
      <c r="D35" s="37"/>
      <c r="E35" s="38"/>
      <c r="F35" s="304"/>
      <c r="G35" s="359"/>
      <c r="H35" s="274"/>
    </row>
    <row r="36" spans="1:8">
      <c r="A36" s="34">
        <f>MAX(A$1:A35)+1</f>
        <v>7</v>
      </c>
      <c r="B36" s="126"/>
      <c r="C36" s="36" t="s">
        <v>158</v>
      </c>
      <c r="D36" s="37"/>
      <c r="E36" s="38" t="s">
        <v>159</v>
      </c>
      <c r="F36" s="321"/>
      <c r="G36" s="366" t="s">
        <v>18</v>
      </c>
      <c r="H36" s="351">
        <v>319.8</v>
      </c>
    </row>
    <row r="37" spans="1:8">
      <c r="A37" s="355"/>
      <c r="B37" s="126"/>
      <c r="C37" s="66"/>
      <c r="D37" s="67" t="s">
        <v>160</v>
      </c>
      <c r="E37" s="71" t="s">
        <v>161</v>
      </c>
      <c r="F37" s="304"/>
      <c r="G37" s="359" t="s">
        <v>18</v>
      </c>
      <c r="H37" s="273">
        <v>319.8</v>
      </c>
    </row>
    <row r="38" spans="1:8">
      <c r="A38" s="355"/>
      <c r="B38" s="126"/>
      <c r="C38" s="66"/>
      <c r="D38" s="67"/>
      <c r="E38" s="65" t="s">
        <v>2582</v>
      </c>
      <c r="F38" s="46">
        <f>0.65*1.2*(410)</f>
        <v>319.8</v>
      </c>
      <c r="G38" s="359"/>
      <c r="H38" s="273"/>
    </row>
    <row r="39" spans="1:8">
      <c r="A39" s="355"/>
      <c r="B39" s="126"/>
      <c r="C39" s="66"/>
      <c r="D39" s="67"/>
      <c r="E39" s="65"/>
      <c r="F39" s="46"/>
      <c r="G39" s="359"/>
      <c r="H39" s="273"/>
    </row>
    <row r="40" spans="1:8">
      <c r="A40" s="34">
        <f>MAX(A$1:A39)+1</f>
        <v>8</v>
      </c>
      <c r="B40" s="126"/>
      <c r="C40" s="36" t="s">
        <v>58</v>
      </c>
      <c r="D40" s="37"/>
      <c r="E40" s="38" t="s">
        <v>59</v>
      </c>
      <c r="F40" s="321"/>
      <c r="G40" s="366" t="s">
        <v>18</v>
      </c>
      <c r="H40" s="276">
        <v>79.950000000000017</v>
      </c>
    </row>
    <row r="41" spans="1:8">
      <c r="A41" s="355"/>
      <c r="B41" s="126"/>
      <c r="C41" s="66"/>
      <c r="D41" s="67" t="s">
        <v>60</v>
      </c>
      <c r="E41" s="71" t="s">
        <v>61</v>
      </c>
      <c r="F41" s="304"/>
      <c r="G41" s="359" t="s">
        <v>18</v>
      </c>
      <c r="H41" s="273">
        <v>79.950000000000017</v>
      </c>
    </row>
    <row r="42" spans="1:8">
      <c r="A42" s="355"/>
      <c r="B42" s="126"/>
      <c r="C42" s="66"/>
      <c r="D42" s="67"/>
      <c r="E42" s="231" t="s">
        <v>2567</v>
      </c>
      <c r="F42" s="46">
        <f>F65</f>
        <v>79.950000000000017</v>
      </c>
      <c r="G42" s="359"/>
      <c r="H42" s="273"/>
    </row>
    <row r="43" spans="1:8">
      <c r="A43" s="355"/>
      <c r="B43" s="126"/>
      <c r="C43" s="66"/>
      <c r="D43" s="67"/>
      <c r="E43" s="358"/>
      <c r="F43" s="368"/>
      <c r="G43" s="359"/>
      <c r="H43" s="273"/>
    </row>
    <row r="44" spans="1:8">
      <c r="A44" s="34">
        <f>MAX(A$1:A43)+1</f>
        <v>9</v>
      </c>
      <c r="B44" s="126"/>
      <c r="C44" s="36" t="s">
        <v>78</v>
      </c>
      <c r="D44" s="37"/>
      <c r="E44" s="38" t="s">
        <v>79</v>
      </c>
      <c r="F44" s="39"/>
      <c r="G44" s="40" t="s">
        <v>18</v>
      </c>
      <c r="H44" s="276">
        <v>239.85</v>
      </c>
    </row>
    <row r="45" spans="1:8">
      <c r="A45" s="355"/>
      <c r="B45" s="126"/>
      <c r="C45" s="379"/>
      <c r="D45" s="380" t="s">
        <v>80</v>
      </c>
      <c r="E45" s="381" t="s">
        <v>81</v>
      </c>
      <c r="F45" s="382"/>
      <c r="G45" s="383" t="s">
        <v>18</v>
      </c>
      <c r="H45" s="1199">
        <v>239.85</v>
      </c>
    </row>
    <row r="46" spans="1:8">
      <c r="A46" s="355"/>
      <c r="B46" s="126"/>
      <c r="C46" s="379"/>
      <c r="D46" s="380"/>
      <c r="E46" s="385" t="s">
        <v>663</v>
      </c>
      <c r="F46" s="386"/>
      <c r="G46" s="383"/>
      <c r="H46" s="1199"/>
    </row>
    <row r="47" spans="1:8">
      <c r="A47" s="355"/>
      <c r="B47" s="126"/>
      <c r="C47" s="379"/>
      <c r="D47" s="380"/>
      <c r="E47" s="231" t="s">
        <v>2583</v>
      </c>
      <c r="F47" s="46">
        <f>0.65*(1.2-0.3)*410</f>
        <v>239.85</v>
      </c>
      <c r="G47" s="383"/>
      <c r="H47" s="1199"/>
    </row>
    <row r="48" spans="1:8">
      <c r="A48" s="355"/>
      <c r="B48" s="126"/>
      <c r="C48" s="379"/>
      <c r="D48" s="380"/>
      <c r="E48" s="231"/>
      <c r="F48" s="46"/>
      <c r="G48" s="383"/>
      <c r="H48" s="1199"/>
    </row>
    <row r="49" spans="1:12">
      <c r="A49" s="34">
        <f>MAX(A$1:A48)+1</f>
        <v>10</v>
      </c>
      <c r="B49" s="126"/>
      <c r="C49" s="373" t="s">
        <v>170</v>
      </c>
      <c r="D49" s="374"/>
      <c r="E49" s="375" t="s">
        <v>171</v>
      </c>
      <c r="F49" s="376"/>
      <c r="G49" s="377" t="s">
        <v>18</v>
      </c>
      <c r="H49" s="1200">
        <v>79.95</v>
      </c>
    </row>
    <row r="50" spans="1:12">
      <c r="A50" s="355"/>
      <c r="B50" s="126"/>
      <c r="C50" s="373"/>
      <c r="D50" s="67" t="s">
        <v>172</v>
      </c>
      <c r="E50" s="71" t="s">
        <v>173</v>
      </c>
      <c r="F50" s="61"/>
      <c r="G50" s="369" t="s">
        <v>18</v>
      </c>
      <c r="H50" s="99">
        <v>79.95</v>
      </c>
      <c r="I50" s="1192"/>
      <c r="J50" s="1192"/>
      <c r="K50" s="1192"/>
      <c r="L50" s="1192"/>
    </row>
    <row r="51" spans="1:12">
      <c r="A51" s="355"/>
      <c r="B51" s="126"/>
      <c r="C51" s="373"/>
      <c r="D51" s="374"/>
      <c r="E51" s="398" t="s">
        <v>664</v>
      </c>
      <c r="F51" s="386"/>
      <c r="G51" s="377"/>
      <c r="H51" s="1200"/>
    </row>
    <row r="52" spans="1:12">
      <c r="A52" s="355"/>
      <c r="B52" s="126"/>
      <c r="C52" s="373"/>
      <c r="D52" s="374"/>
      <c r="E52" s="231" t="s">
        <v>2584</v>
      </c>
      <c r="F52" s="46">
        <f>0.65*0.3*(410)</f>
        <v>79.95</v>
      </c>
      <c r="G52" s="377"/>
      <c r="H52" s="1200"/>
    </row>
    <row r="53" spans="1:12">
      <c r="A53" s="355"/>
      <c r="B53" s="126"/>
      <c r="C53" s="373"/>
      <c r="D53" s="374"/>
      <c r="E53" s="231"/>
      <c r="F53" s="46"/>
      <c r="G53" s="377"/>
      <c r="H53" s="1200"/>
    </row>
    <row r="54" spans="1:12">
      <c r="A54" s="355"/>
      <c r="B54" s="126"/>
      <c r="C54" s="66"/>
      <c r="D54" s="67"/>
      <c r="E54" s="387" t="s">
        <v>639</v>
      </c>
      <c r="F54" s="388"/>
      <c r="G54" s="359"/>
      <c r="H54" s="273"/>
    </row>
    <row r="55" spans="1:12" ht="15.75">
      <c r="A55" s="355"/>
      <c r="B55" s="126"/>
      <c r="C55" s="153"/>
      <c r="D55" s="67"/>
      <c r="E55" s="387" t="s">
        <v>2570</v>
      </c>
      <c r="G55" s="359"/>
      <c r="H55" s="274"/>
    </row>
    <row r="56" spans="1:12" ht="15.75">
      <c r="A56" s="355"/>
      <c r="B56" s="126"/>
      <c r="C56" s="153"/>
      <c r="D56" s="67"/>
      <c r="E56" s="387"/>
      <c r="F56" s="386"/>
      <c r="G56" s="359"/>
      <c r="H56" s="274"/>
    </row>
    <row r="57" spans="1:12" ht="15.75">
      <c r="A57" s="355"/>
      <c r="B57" s="126"/>
      <c r="C57" s="153"/>
      <c r="D57" s="67"/>
      <c r="E57" s="387" t="s">
        <v>640</v>
      </c>
      <c r="F57" s="388"/>
      <c r="G57" s="359"/>
      <c r="H57" s="274"/>
    </row>
    <row r="58" spans="1:12" ht="15.75">
      <c r="A58" s="355"/>
      <c r="B58" s="126"/>
      <c r="C58" s="153"/>
      <c r="D58" s="67"/>
      <c r="E58" s="387" t="s">
        <v>2570</v>
      </c>
      <c r="F58" s="386"/>
      <c r="G58" s="359"/>
      <c r="H58" s="274"/>
    </row>
    <row r="59" spans="1:12" ht="15.75">
      <c r="A59" s="355"/>
      <c r="B59" s="126"/>
      <c r="C59" s="153"/>
      <c r="D59" s="67"/>
      <c r="E59" s="387"/>
      <c r="F59" s="399"/>
      <c r="G59" s="359"/>
      <c r="H59" s="274"/>
    </row>
    <row r="60" spans="1:12">
      <c r="A60" s="34">
        <f>MAX(A$1:A59)+1</f>
        <v>11</v>
      </c>
      <c r="B60" s="73"/>
      <c r="C60" s="36" t="s">
        <v>50</v>
      </c>
      <c r="D60" s="37"/>
      <c r="E60" s="38" t="s">
        <v>51</v>
      </c>
      <c r="F60" s="39"/>
      <c r="G60" s="40" t="s">
        <v>18</v>
      </c>
      <c r="H60" s="1197">
        <v>79.950000000000017</v>
      </c>
    </row>
    <row r="61" spans="1:12" ht="25.5">
      <c r="A61" s="355"/>
      <c r="B61" s="73"/>
      <c r="C61" s="66"/>
      <c r="D61" s="67" t="s">
        <v>138</v>
      </c>
      <c r="E61" s="71" t="s">
        <v>139</v>
      </c>
      <c r="F61" s="61"/>
      <c r="G61" s="62" t="s">
        <v>18</v>
      </c>
      <c r="H61" s="1198">
        <v>79.950000000000017</v>
      </c>
    </row>
    <row r="62" spans="1:12">
      <c r="A62" s="355"/>
      <c r="B62" s="73"/>
      <c r="C62" s="379"/>
      <c r="D62" s="380"/>
      <c r="E62" s="231" t="s">
        <v>2571</v>
      </c>
      <c r="F62" s="46"/>
      <c r="G62" s="383"/>
      <c r="H62" s="1198"/>
    </row>
    <row r="63" spans="1:12">
      <c r="A63" s="355"/>
      <c r="B63" s="73"/>
      <c r="C63" s="379"/>
      <c r="D63" s="380"/>
      <c r="E63" s="231" t="s">
        <v>66</v>
      </c>
      <c r="F63" s="46">
        <f>F38</f>
        <v>319.8</v>
      </c>
      <c r="G63" s="383"/>
      <c r="H63" s="1198"/>
    </row>
    <row r="64" spans="1:12">
      <c r="A64" s="355"/>
      <c r="B64" s="73"/>
      <c r="C64" s="379"/>
      <c r="D64" s="380"/>
      <c r="E64" s="231" t="s">
        <v>82</v>
      </c>
      <c r="F64" s="69">
        <f>-F47</f>
        <v>-239.85</v>
      </c>
      <c r="G64" s="383"/>
      <c r="H64" s="1198"/>
    </row>
    <row r="65" spans="1:8">
      <c r="A65" s="355"/>
      <c r="B65" s="73"/>
      <c r="C65" s="379"/>
      <c r="D65" s="380"/>
      <c r="E65" s="231"/>
      <c r="F65" s="46">
        <f>SUM(F63:F64)</f>
        <v>79.950000000000017</v>
      </c>
      <c r="G65" s="383"/>
      <c r="H65" s="1198"/>
    </row>
    <row r="66" spans="1:8">
      <c r="A66" s="355"/>
      <c r="B66" s="73"/>
      <c r="C66" s="379"/>
      <c r="D66" s="380"/>
      <c r="E66" s="387"/>
      <c r="F66" s="386"/>
      <c r="G66" s="383"/>
      <c r="H66" s="1198"/>
    </row>
    <row r="67" spans="1:8" ht="25.5">
      <c r="A67" s="355"/>
      <c r="B67" s="35" t="s">
        <v>270</v>
      </c>
      <c r="C67" s="35"/>
      <c r="D67" s="94"/>
      <c r="E67" s="211" t="s">
        <v>271</v>
      </c>
      <c r="F67" s="46"/>
      <c r="G67" s="359"/>
      <c r="H67" s="274"/>
    </row>
    <row r="68" spans="1:8">
      <c r="A68" s="355"/>
      <c r="B68" s="73"/>
      <c r="C68" s="66"/>
      <c r="D68" s="67"/>
      <c r="E68" s="65"/>
      <c r="F68" s="46"/>
      <c r="G68" s="359"/>
      <c r="H68" s="274"/>
    </row>
    <row r="69" spans="1:8" ht="25.5">
      <c r="A69" s="34">
        <f>MAX(A$1:A68)+1</f>
        <v>12</v>
      </c>
      <c r="B69" s="73"/>
      <c r="C69" s="36" t="s">
        <v>576</v>
      </c>
      <c r="D69" s="37"/>
      <c r="E69" s="38" t="s">
        <v>577</v>
      </c>
      <c r="F69" s="321"/>
      <c r="G69" s="366" t="s">
        <v>36</v>
      </c>
      <c r="H69" s="276">
        <v>80</v>
      </c>
    </row>
    <row r="70" spans="1:8" ht="25.5">
      <c r="A70" s="355"/>
      <c r="B70" s="73"/>
      <c r="C70" s="66"/>
      <c r="D70" s="67" t="s">
        <v>578</v>
      </c>
      <c r="E70" s="71" t="s">
        <v>579</v>
      </c>
      <c r="F70" s="304"/>
      <c r="G70" s="359" t="s">
        <v>36</v>
      </c>
      <c r="H70" s="273">
        <v>80</v>
      </c>
    </row>
    <row r="71" spans="1:8">
      <c r="A71" s="355"/>
      <c r="B71" s="73"/>
      <c r="C71" s="66"/>
      <c r="D71" s="67"/>
      <c r="E71" s="84" t="s">
        <v>643</v>
      </c>
      <c r="F71" s="304"/>
      <c r="G71" s="359"/>
      <c r="H71" s="273"/>
    </row>
    <row r="72" spans="1:8">
      <c r="A72" s="355"/>
      <c r="B72" s="73"/>
      <c r="C72" s="66"/>
      <c r="D72" s="67"/>
      <c r="E72" s="65" t="s">
        <v>2585</v>
      </c>
      <c r="F72" s="46">
        <v>80</v>
      </c>
      <c r="G72" s="359"/>
      <c r="H72" s="273"/>
    </row>
    <row r="73" spans="1:8">
      <c r="A73" s="355"/>
      <c r="B73" s="73"/>
      <c r="C73" s="66"/>
      <c r="D73" s="67"/>
      <c r="E73" s="65"/>
      <c r="F73" s="46"/>
      <c r="G73" s="359"/>
      <c r="H73" s="273"/>
    </row>
    <row r="74" spans="1:8">
      <c r="A74" s="355"/>
      <c r="B74" s="35" t="s">
        <v>416</v>
      </c>
      <c r="C74" s="35"/>
      <c r="D74" s="94"/>
      <c r="E74" s="50" t="s">
        <v>417</v>
      </c>
      <c r="F74" s="46"/>
      <c r="G74" s="359"/>
      <c r="H74" s="273"/>
    </row>
    <row r="75" spans="1:8">
      <c r="A75" s="355"/>
      <c r="B75" s="73"/>
      <c r="C75" s="66"/>
      <c r="D75" s="67"/>
      <c r="E75" s="65"/>
      <c r="F75" s="46"/>
      <c r="G75" s="359"/>
      <c r="H75" s="273"/>
    </row>
    <row r="76" spans="1:8" ht="25.5">
      <c r="A76" s="34">
        <f>MAX(A$1:A75)+1</f>
        <v>13</v>
      </c>
      <c r="B76" s="73"/>
      <c r="C76" s="36" t="s">
        <v>387</v>
      </c>
      <c r="D76" s="66"/>
      <c r="E76" s="38" t="s">
        <v>388</v>
      </c>
      <c r="F76" s="39"/>
      <c r="G76" s="40" t="s">
        <v>18</v>
      </c>
      <c r="H76" s="276">
        <v>4</v>
      </c>
    </row>
    <row r="77" spans="1:8" ht="25.5">
      <c r="A77" s="355"/>
      <c r="B77" s="73"/>
      <c r="C77" s="66"/>
      <c r="D77" s="191" t="s">
        <v>391</v>
      </c>
      <c r="E77" s="193" t="s">
        <v>392</v>
      </c>
      <c r="F77" s="192"/>
      <c r="G77" s="32" t="s">
        <v>18</v>
      </c>
      <c r="H77" s="273">
        <v>4</v>
      </c>
    </row>
    <row r="78" spans="1:8">
      <c r="A78" s="355"/>
      <c r="B78" s="73"/>
      <c r="C78" s="66"/>
      <c r="D78" s="67"/>
      <c r="E78" s="84" t="s">
        <v>2574</v>
      </c>
      <c r="F78" s="46"/>
      <c r="G78" s="359"/>
      <c r="H78" s="273"/>
    </row>
    <row r="79" spans="1:8">
      <c r="A79" s="355"/>
      <c r="B79" s="73"/>
      <c r="C79" s="66"/>
      <c r="D79" s="67"/>
      <c r="E79" s="65" t="s">
        <v>2586</v>
      </c>
      <c r="F79" s="46">
        <v>4</v>
      </c>
      <c r="G79" s="359"/>
      <c r="H79" s="273"/>
    </row>
    <row r="80" spans="1:8">
      <c r="A80" s="355"/>
      <c r="B80" s="73"/>
      <c r="C80" s="66"/>
      <c r="D80" s="67"/>
      <c r="E80" s="65"/>
      <c r="F80" s="46"/>
      <c r="G80" s="359"/>
      <c r="H80" s="273"/>
    </row>
    <row r="81" spans="1:13">
      <c r="A81" s="355"/>
      <c r="B81" s="73"/>
      <c r="C81" s="198"/>
      <c r="D81" s="199"/>
      <c r="E81" s="71"/>
      <c r="F81" s="304"/>
      <c r="G81" s="359"/>
      <c r="H81" s="273"/>
    </row>
    <row r="82" spans="1:13">
      <c r="A82" s="355"/>
      <c r="B82" s="35" t="s">
        <v>225</v>
      </c>
      <c r="C82" s="35"/>
      <c r="D82" s="94"/>
      <c r="E82" s="50" t="s">
        <v>226</v>
      </c>
      <c r="F82" s="304"/>
      <c r="G82" s="359"/>
      <c r="H82" s="273"/>
    </row>
    <row r="83" spans="1:13">
      <c r="A83" s="355"/>
      <c r="B83" s="73"/>
      <c r="C83" s="66"/>
      <c r="D83" s="67"/>
      <c r="E83" s="71"/>
      <c r="F83" s="304"/>
      <c r="G83" s="359"/>
      <c r="H83" s="273"/>
    </row>
    <row r="84" spans="1:13" s="410" customFormat="1" ht="12.75">
      <c r="A84" s="334">
        <f>MAX(A$1:A83)+1</f>
        <v>14</v>
      </c>
      <c r="B84" s="335"/>
      <c r="C84" s="195">
        <v>91090101</v>
      </c>
      <c r="D84" s="196"/>
      <c r="E84" s="38" t="s">
        <v>667</v>
      </c>
      <c r="F84" s="444"/>
      <c r="G84" s="336" t="s">
        <v>36</v>
      </c>
      <c r="H84" s="589">
        <v>450</v>
      </c>
    </row>
    <row r="85" spans="1:13" s="410" customFormat="1" ht="12.75">
      <c r="A85" s="293"/>
      <c r="B85" s="340"/>
      <c r="C85" s="341"/>
      <c r="D85" s="199">
        <v>9109010101</v>
      </c>
      <c r="E85" s="71" t="s">
        <v>699</v>
      </c>
      <c r="F85" s="445"/>
      <c r="G85" s="338" t="s">
        <v>36</v>
      </c>
      <c r="H85" s="343">
        <v>450</v>
      </c>
    </row>
    <row r="86" spans="1:13" s="450" customFormat="1" ht="12.75">
      <c r="A86" s="446"/>
      <c r="B86" s="447"/>
      <c r="C86" s="448"/>
      <c r="D86" s="449"/>
      <c r="E86" s="470" t="s">
        <v>2587</v>
      </c>
      <c r="F86" s="590">
        <v>410</v>
      </c>
      <c r="G86" s="447"/>
      <c r="H86" s="343"/>
    </row>
    <row r="87" spans="1:13" s="450" customFormat="1" ht="12.75">
      <c r="A87" s="446"/>
      <c r="B87" s="447"/>
      <c r="C87" s="448"/>
      <c r="D87" s="449"/>
      <c r="E87" s="470" t="s">
        <v>2588</v>
      </c>
      <c r="F87" s="1201">
        <v>40</v>
      </c>
      <c r="G87" s="447"/>
      <c r="H87" s="343"/>
    </row>
    <row r="88" spans="1:13" s="450" customFormat="1" ht="12.75">
      <c r="A88" s="446"/>
      <c r="B88" s="447"/>
      <c r="C88" s="448"/>
      <c r="D88" s="449"/>
      <c r="E88" s="546"/>
      <c r="F88" s="590">
        <f>SUM(F86:F87)</f>
        <v>450</v>
      </c>
      <c r="G88" s="447"/>
      <c r="H88" s="343"/>
    </row>
    <row r="89" spans="1:13" s="410" customFormat="1" ht="12.75">
      <c r="A89" s="293"/>
      <c r="B89" s="594"/>
      <c r="C89" s="595"/>
      <c r="D89" s="596"/>
      <c r="E89" s="597"/>
      <c r="F89" s="1202"/>
      <c r="G89" s="1203"/>
      <c r="H89" s="343"/>
    </row>
    <row r="90" spans="1:13" s="410" customFormat="1" ht="12.75">
      <c r="A90" s="334">
        <f>MAX(A$1:A89)+1</f>
        <v>15</v>
      </c>
      <c r="B90" s="335"/>
      <c r="C90" s="195">
        <v>91090112</v>
      </c>
      <c r="D90" s="196"/>
      <c r="E90" s="38" t="s">
        <v>668</v>
      </c>
      <c r="F90" s="444"/>
      <c r="G90" s="336" t="s">
        <v>36</v>
      </c>
      <c r="H90" s="337">
        <v>80</v>
      </c>
    </row>
    <row r="91" spans="1:13" s="410" customFormat="1" ht="12.75">
      <c r="A91" s="293"/>
      <c r="B91" s="335"/>
      <c r="C91" s="198"/>
      <c r="D91" s="199">
        <v>9109011201</v>
      </c>
      <c r="E91" s="71" t="s">
        <v>669</v>
      </c>
      <c r="F91" s="445"/>
      <c r="G91" s="338" t="s">
        <v>36</v>
      </c>
      <c r="H91" s="339">
        <v>80</v>
      </c>
    </row>
    <row r="92" spans="1:13" s="410" customFormat="1" ht="12.75">
      <c r="A92" s="293"/>
      <c r="B92" s="340"/>
      <c r="C92" s="341"/>
      <c r="D92" s="342"/>
      <c r="E92" s="470" t="s">
        <v>2477</v>
      </c>
      <c r="F92" s="451">
        <v>80</v>
      </c>
      <c r="G92" s="338"/>
      <c r="H92" s="343"/>
    </row>
    <row r="93" spans="1:13" s="410" customFormat="1" ht="12.75">
      <c r="A93" s="293"/>
      <c r="B93" s="340"/>
      <c r="C93" s="341"/>
      <c r="D93" s="342"/>
      <c r="E93" s="546"/>
      <c r="F93" s="451"/>
      <c r="G93" s="338"/>
      <c r="H93" s="343"/>
    </row>
    <row r="94" spans="1:13" ht="25.5">
      <c r="A94" s="443"/>
      <c r="B94" s="35" t="s">
        <v>480</v>
      </c>
      <c r="C94" s="35"/>
      <c r="D94" s="94"/>
      <c r="E94" s="50" t="s">
        <v>481</v>
      </c>
      <c r="F94" s="136"/>
      <c r="G94" s="40"/>
      <c r="H94" s="239"/>
      <c r="I94"/>
      <c r="J94"/>
      <c r="K94"/>
      <c r="L94"/>
      <c r="M94"/>
    </row>
    <row r="95" spans="1:13">
      <c r="A95" s="443"/>
      <c r="B95" s="35"/>
      <c r="C95" s="35"/>
      <c r="D95" s="94"/>
      <c r="E95" s="50"/>
      <c r="F95" s="136"/>
      <c r="G95" s="40"/>
      <c r="H95" s="239"/>
      <c r="I95"/>
      <c r="J95"/>
      <c r="K95"/>
      <c r="L95"/>
      <c r="M95"/>
    </row>
    <row r="96" spans="1:13" s="410" customFormat="1" ht="12.75">
      <c r="A96" s="334">
        <f>MAX(A$1:A94)+1</f>
        <v>16</v>
      </c>
      <c r="B96" s="439"/>
      <c r="C96" s="455">
        <v>91010601</v>
      </c>
      <c r="D96" s="456"/>
      <c r="E96" s="437" t="s">
        <v>705</v>
      </c>
      <c r="F96" s="444"/>
      <c r="G96" s="336" t="s">
        <v>36</v>
      </c>
      <c r="H96" s="589">
        <v>80</v>
      </c>
    </row>
    <row r="97" spans="1:13" s="410" customFormat="1" ht="14.25" customHeight="1">
      <c r="A97" s="293"/>
      <c r="B97" s="440"/>
      <c r="C97" s="341"/>
      <c r="D97" s="342">
        <v>9101060101</v>
      </c>
      <c r="E97" s="305" t="s">
        <v>706</v>
      </c>
      <c r="F97" s="445"/>
      <c r="G97" s="338" t="s">
        <v>36</v>
      </c>
      <c r="H97" s="343">
        <v>80</v>
      </c>
    </row>
    <row r="98" spans="1:13" s="410" customFormat="1" ht="12.75">
      <c r="A98" s="293"/>
      <c r="B98" s="440"/>
      <c r="C98" s="341"/>
      <c r="D98" s="342"/>
      <c r="E98" s="470" t="s">
        <v>740</v>
      </c>
      <c r="F98" s="590">
        <v>80</v>
      </c>
      <c r="G98" s="338"/>
      <c r="H98" s="343"/>
    </row>
    <row r="99" spans="1:13">
      <c r="A99" s="443"/>
      <c r="B99" s="35"/>
      <c r="C99" s="35"/>
      <c r="D99" s="94"/>
      <c r="E99" s="50"/>
      <c r="F99" s="136"/>
      <c r="G99" s="40"/>
      <c r="H99" s="239"/>
      <c r="I99"/>
      <c r="J99"/>
      <c r="K99"/>
      <c r="L99"/>
      <c r="M99"/>
    </row>
    <row r="100" spans="1:13" ht="25.5">
      <c r="A100" s="334">
        <f>MAX(A$1:A98)+1</f>
        <v>17</v>
      </c>
      <c r="B100" s="302"/>
      <c r="C100" s="195">
        <v>91100101</v>
      </c>
      <c r="D100" s="196"/>
      <c r="E100" s="38" t="s">
        <v>700</v>
      </c>
      <c r="F100" s="39"/>
      <c r="G100" s="40" t="s">
        <v>33</v>
      </c>
      <c r="H100" s="276">
        <v>7</v>
      </c>
      <c r="I100"/>
      <c r="J100"/>
      <c r="K100"/>
      <c r="L100"/>
      <c r="M100"/>
    </row>
    <row r="101" spans="1:13" ht="25.5">
      <c r="A101" s="443"/>
      <c r="B101" s="302"/>
      <c r="C101" s="198"/>
      <c r="D101" s="199">
        <v>9110010102</v>
      </c>
      <c r="E101" s="71" t="s">
        <v>701</v>
      </c>
      <c r="F101" s="61"/>
      <c r="G101" s="62" t="s">
        <v>33</v>
      </c>
      <c r="H101" s="273">
        <v>7</v>
      </c>
      <c r="I101"/>
      <c r="J101"/>
      <c r="K101"/>
      <c r="L101"/>
      <c r="M101"/>
    </row>
    <row r="102" spans="1:13">
      <c r="A102" s="443"/>
      <c r="B102" s="302"/>
      <c r="C102" s="198"/>
      <c r="D102" s="199"/>
      <c r="E102" s="65" t="s">
        <v>2589</v>
      </c>
      <c r="F102" s="46">
        <v>7</v>
      </c>
      <c r="G102" s="369"/>
      <c r="H102" s="239"/>
      <c r="I102"/>
      <c r="J102"/>
      <c r="K102"/>
      <c r="L102"/>
      <c r="M102"/>
    </row>
    <row r="103" spans="1:13">
      <c r="A103" s="355"/>
      <c r="B103" s="73"/>
      <c r="C103" s="66"/>
      <c r="D103" s="67"/>
      <c r="E103" s="71"/>
      <c r="F103" s="304"/>
      <c r="G103" s="359"/>
      <c r="H103" s="239"/>
    </row>
    <row r="104" spans="1:13" ht="25.5">
      <c r="A104" s="34">
        <f>MAX(A$1:A103)+1</f>
        <v>18</v>
      </c>
      <c r="B104" s="194"/>
      <c r="C104" s="195">
        <v>91100103</v>
      </c>
      <c r="D104" s="196"/>
      <c r="E104" s="38" t="s">
        <v>557</v>
      </c>
      <c r="F104" s="39"/>
      <c r="G104" s="40" t="s">
        <v>33</v>
      </c>
      <c r="H104" s="276">
        <v>9</v>
      </c>
      <c r="I104"/>
      <c r="J104"/>
      <c r="K104"/>
      <c r="L104"/>
      <c r="M104"/>
    </row>
    <row r="105" spans="1:13" ht="25.5">
      <c r="A105" s="355"/>
      <c r="B105" s="197"/>
      <c r="C105" s="198"/>
      <c r="D105" s="199">
        <v>9110010302</v>
      </c>
      <c r="E105" s="71" t="s">
        <v>671</v>
      </c>
      <c r="F105" s="304"/>
      <c r="G105" s="359" t="s">
        <v>33</v>
      </c>
      <c r="H105" s="273">
        <v>9</v>
      </c>
    </row>
    <row r="106" spans="1:13">
      <c r="A106" s="355"/>
      <c r="B106" s="73"/>
      <c r="C106" s="66"/>
      <c r="D106" s="67"/>
      <c r="E106" s="65" t="s">
        <v>2590</v>
      </c>
      <c r="F106" s="46">
        <v>9</v>
      </c>
      <c r="G106" s="359"/>
      <c r="H106" s="239"/>
    </row>
    <row r="107" spans="1:13">
      <c r="A107" s="355"/>
      <c r="B107" s="73"/>
      <c r="C107" s="66"/>
      <c r="D107" s="67"/>
      <c r="E107" s="65"/>
      <c r="F107" s="46"/>
      <c r="G107" s="359"/>
      <c r="H107" s="239"/>
    </row>
    <row r="108" spans="1:13">
      <c r="A108" s="34">
        <f>MAX(A$1:A107)+1</f>
        <v>19</v>
      </c>
      <c r="B108" s="453"/>
      <c r="C108" s="195">
        <v>91190102</v>
      </c>
      <c r="D108" s="196"/>
      <c r="E108" s="38" t="s">
        <v>702</v>
      </c>
      <c r="F108" s="39"/>
      <c r="G108" s="40" t="s">
        <v>33</v>
      </c>
      <c r="H108" s="276">
        <v>4</v>
      </c>
    </row>
    <row r="109" spans="1:13">
      <c r="A109" s="443"/>
      <c r="B109" s="453"/>
      <c r="C109" s="198"/>
      <c r="D109" s="199">
        <v>9119010201</v>
      </c>
      <c r="E109" s="71" t="s">
        <v>703</v>
      </c>
      <c r="F109" s="61"/>
      <c r="G109" s="62" t="s">
        <v>33</v>
      </c>
      <c r="H109" s="273">
        <v>4</v>
      </c>
    </row>
    <row r="110" spans="1:13">
      <c r="A110" s="443"/>
      <c r="B110" s="453"/>
      <c r="C110" s="198"/>
      <c r="D110" s="235"/>
      <c r="E110" s="168" t="s">
        <v>2591</v>
      </c>
      <c r="F110" s="136">
        <v>4</v>
      </c>
      <c r="G110" s="62"/>
      <c r="H110" s="141"/>
    </row>
    <row r="111" spans="1:13">
      <c r="A111" s="355"/>
      <c r="B111" s="73"/>
      <c r="C111" s="66"/>
      <c r="D111" s="67"/>
      <c r="E111" s="65"/>
      <c r="F111" s="46"/>
      <c r="G111" s="359"/>
      <c r="H111" s="239"/>
    </row>
    <row r="112" spans="1:13" ht="25.5">
      <c r="A112" s="34">
        <f>MAX(A$1:A111)+1</f>
        <v>20</v>
      </c>
      <c r="B112" s="43"/>
      <c r="C112" s="195">
        <v>91220702</v>
      </c>
      <c r="D112" s="196"/>
      <c r="E112" s="38" t="s">
        <v>648</v>
      </c>
      <c r="F112" s="39"/>
      <c r="G112" s="40" t="s">
        <v>33</v>
      </c>
      <c r="H112" s="64">
        <v>16</v>
      </c>
      <c r="I112"/>
      <c r="J112"/>
      <c r="K112"/>
      <c r="L112"/>
      <c r="M112"/>
    </row>
    <row r="113" spans="1:13" ht="25.5">
      <c r="A113" s="72"/>
      <c r="B113" s="43"/>
      <c r="C113" s="195"/>
      <c r="D113" s="199">
        <v>9122070201</v>
      </c>
      <c r="E113" s="71" t="s">
        <v>649</v>
      </c>
      <c r="F113" s="61"/>
      <c r="G113" s="62" t="s">
        <v>33</v>
      </c>
      <c r="H113" s="274">
        <v>16</v>
      </c>
      <c r="I113"/>
      <c r="J113"/>
      <c r="K113"/>
      <c r="L113"/>
      <c r="M113"/>
    </row>
    <row r="114" spans="1:13">
      <c r="A114" s="72"/>
      <c r="B114" s="43"/>
      <c r="C114" s="195"/>
      <c r="D114" s="196"/>
      <c r="E114" s="467" t="s">
        <v>794</v>
      </c>
      <c r="F114" s="457">
        <v>8</v>
      </c>
      <c r="G114" s="40"/>
      <c r="H114" s="42"/>
      <c r="I114"/>
      <c r="J114"/>
      <c r="K114"/>
      <c r="L114"/>
      <c r="M114"/>
    </row>
    <row r="115" spans="1:13">
      <c r="A115" s="72"/>
      <c r="B115" s="43"/>
      <c r="C115" s="195"/>
      <c r="D115" s="196"/>
      <c r="E115" s="467" t="s">
        <v>2592</v>
      </c>
      <c r="F115" s="458">
        <v>8</v>
      </c>
      <c r="G115" s="40"/>
      <c r="H115" s="42"/>
      <c r="I115"/>
      <c r="J115"/>
      <c r="K115"/>
      <c r="L115"/>
      <c r="M115"/>
    </row>
    <row r="116" spans="1:13">
      <c r="A116" s="72"/>
      <c r="B116" s="43"/>
      <c r="C116" s="195"/>
      <c r="D116" s="196"/>
      <c r="E116" s="345"/>
      <c r="F116" s="454">
        <f>SUM(F114:F115)</f>
        <v>16</v>
      </c>
      <c r="G116" s="40"/>
      <c r="H116" s="42"/>
      <c r="I116"/>
      <c r="J116"/>
      <c r="K116"/>
      <c r="L116"/>
      <c r="M116"/>
    </row>
    <row r="117" spans="1:13">
      <c r="A117" s="72"/>
      <c r="B117" s="43"/>
      <c r="C117" s="195"/>
      <c r="D117" s="196"/>
      <c r="E117" s="38"/>
      <c r="F117" s="39"/>
      <c r="G117" s="40"/>
      <c r="H117" s="42"/>
      <c r="I117"/>
      <c r="J117"/>
      <c r="K117"/>
      <c r="L117"/>
      <c r="M117"/>
    </row>
    <row r="118" spans="1:13" ht="25.5">
      <c r="A118" s="334">
        <f>MAX(A$1:A117)+1</f>
        <v>21</v>
      </c>
      <c r="B118" s="328"/>
      <c r="C118" s="195">
        <v>91221001</v>
      </c>
      <c r="D118" s="196"/>
      <c r="E118" s="38" t="s">
        <v>619</v>
      </c>
      <c r="F118" s="123"/>
      <c r="G118" s="40" t="s">
        <v>36</v>
      </c>
      <c r="H118" s="64">
        <v>354</v>
      </c>
      <c r="I118"/>
      <c r="J118"/>
      <c r="K118"/>
      <c r="L118"/>
      <c r="M118"/>
    </row>
    <row r="119" spans="1:13" ht="25.5">
      <c r="A119" s="290"/>
      <c r="B119" s="328"/>
      <c r="C119" s="198"/>
      <c r="D119" s="199">
        <v>9122100103</v>
      </c>
      <c r="E119" s="71" t="s">
        <v>620</v>
      </c>
      <c r="F119" s="46"/>
      <c r="G119" s="62" t="s">
        <v>36</v>
      </c>
      <c r="H119" s="274">
        <v>350</v>
      </c>
      <c r="I119"/>
      <c r="J119"/>
      <c r="K119"/>
      <c r="L119"/>
      <c r="M119"/>
    </row>
    <row r="120" spans="1:13" ht="12.75" customHeight="1">
      <c r="A120" s="290"/>
      <c r="B120" s="328"/>
      <c r="C120" s="331"/>
      <c r="D120" s="332"/>
      <c r="E120" s="330" t="s">
        <v>739</v>
      </c>
      <c r="F120" s="457">
        <v>350</v>
      </c>
      <c r="G120" s="333"/>
      <c r="H120" s="292"/>
      <c r="I120"/>
      <c r="J120"/>
      <c r="K120"/>
      <c r="L120"/>
      <c r="M120"/>
    </row>
    <row r="121" spans="1:13" ht="25.5">
      <c r="A121" s="290"/>
      <c r="B121" s="328"/>
      <c r="C121" s="198"/>
      <c r="D121" s="199">
        <v>9122100105</v>
      </c>
      <c r="E121" s="71" t="s">
        <v>795</v>
      </c>
      <c r="F121" s="46"/>
      <c r="G121" s="62" t="s">
        <v>36</v>
      </c>
      <c r="H121" s="274">
        <v>4</v>
      </c>
      <c r="I121"/>
      <c r="J121"/>
      <c r="K121"/>
      <c r="L121"/>
      <c r="M121"/>
    </row>
    <row r="122" spans="1:13" ht="12.75" customHeight="1">
      <c r="A122" s="290"/>
      <c r="B122" s="328"/>
      <c r="C122" s="331"/>
      <c r="D122" s="332"/>
      <c r="E122" s="330" t="s">
        <v>707</v>
      </c>
      <c r="F122" s="457">
        <v>4</v>
      </c>
      <c r="G122" s="333"/>
      <c r="H122" s="592"/>
      <c r="I122"/>
      <c r="J122"/>
      <c r="K122"/>
      <c r="L122"/>
      <c r="M122"/>
    </row>
    <row r="123" spans="1:13">
      <c r="A123" s="443"/>
      <c r="B123" s="453"/>
      <c r="C123" s="198"/>
      <c r="D123" s="235"/>
      <c r="E123" s="71"/>
      <c r="F123" s="61"/>
      <c r="G123" s="62"/>
      <c r="H123" s="142"/>
      <c r="I123"/>
      <c r="J123"/>
      <c r="K123"/>
      <c r="L123"/>
      <c r="M123"/>
    </row>
    <row r="124" spans="1:13" ht="15.75" thickBot="1">
      <c r="A124" s="362"/>
      <c r="B124" s="346"/>
      <c r="C124" s="391"/>
      <c r="D124" s="392"/>
      <c r="E124" s="393"/>
      <c r="F124" s="394"/>
      <c r="G124" s="395"/>
      <c r="H124" s="1204"/>
    </row>
  </sheetData>
  <sheetProtection algorithmName="SHA-512" hashValue="DLHlROJwbGt+ubuV+3I8HVMbDHPfCVxAJtjNL24zGKCRSC/l+FAhQCUbEeNz05fkfbdf0TOU8F5D+kRK8WozKQ==" saltValue="Kjsz2kBEPaaY1fxr8B5ok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DA275-244F-472B-9F61-C7ED99AD8424}">
  <sheetPr codeName="Hárok32"/>
  <dimension ref="A1:Q107"/>
  <sheetViews>
    <sheetView showGridLines="0" workbookViewId="0">
      <selection activeCell="H3" sqref="H3:H4"/>
    </sheetView>
  </sheetViews>
  <sheetFormatPr defaultRowHeight="15"/>
  <cols>
    <col min="1" max="1" width="4.7109375" style="115" customWidth="1"/>
    <col min="2" max="2" width="8.140625" style="1217" customWidth="1"/>
    <col min="3" max="3" width="9" style="115" customWidth="1"/>
    <col min="4" max="4" width="10.85546875" style="115" customWidth="1"/>
    <col min="5" max="5" width="52.7109375" style="115" customWidth="1"/>
    <col min="6" max="6" width="9.85546875" style="1218" customWidth="1"/>
    <col min="7" max="7" width="5.7109375" style="115" customWidth="1"/>
    <col min="8" max="8" width="12.42578125" style="1219" customWidth="1"/>
  </cols>
  <sheetData>
    <row r="1" spans="1:17">
      <c r="A1" s="2" t="s">
        <v>1</v>
      </c>
      <c r="B1" s="122"/>
      <c r="C1" s="3"/>
      <c r="D1" s="4"/>
      <c r="E1" s="4" t="s">
        <v>2594</v>
      </c>
      <c r="F1" s="279"/>
      <c r="G1" s="7"/>
      <c r="H1" s="575"/>
    </row>
    <row r="2" spans="1:17" ht="15.75" thickBot="1">
      <c r="A2" s="9" t="s">
        <v>2</v>
      </c>
      <c r="B2" s="2"/>
      <c r="C2" s="3"/>
      <c r="D2" s="4"/>
      <c r="E2" s="10">
        <v>2224</v>
      </c>
      <c r="F2" s="279"/>
      <c r="G2" s="11"/>
      <c r="H2" s="576"/>
    </row>
    <row r="3" spans="1:17" ht="15" customHeight="1">
      <c r="A3" s="1331" t="s">
        <v>3</v>
      </c>
      <c r="B3" s="1369"/>
      <c r="C3" s="1332"/>
      <c r="D3" s="13"/>
      <c r="E3" s="1333" t="s">
        <v>4</v>
      </c>
      <c r="F3" s="1334"/>
      <c r="G3" s="1337" t="s">
        <v>5</v>
      </c>
      <c r="H3" s="1370" t="s">
        <v>6</v>
      </c>
    </row>
    <row r="4" spans="1:17" ht="15.75" thickBot="1">
      <c r="A4" s="14" t="s">
        <v>7</v>
      </c>
      <c r="B4" s="488" t="s">
        <v>2595</v>
      </c>
      <c r="C4" s="15" t="s">
        <v>9</v>
      </c>
      <c r="D4" s="15" t="s">
        <v>10</v>
      </c>
      <c r="E4" s="1335"/>
      <c r="F4" s="1336"/>
      <c r="G4" s="1338"/>
      <c r="H4" s="1371"/>
    </row>
    <row r="5" spans="1:17" ht="12.75" customHeight="1">
      <c r="A5" s="1205"/>
      <c r="B5" s="1206"/>
      <c r="C5" s="1207"/>
      <c r="D5" s="1207"/>
      <c r="E5" s="1208"/>
      <c r="F5" s="1209"/>
      <c r="G5" s="1207"/>
      <c r="H5" s="1210"/>
    </row>
    <row r="6" spans="1:17">
      <c r="A6" s="1211"/>
      <c r="B6" s="24" t="s">
        <v>11</v>
      </c>
      <c r="C6" s="25"/>
      <c r="D6" s="26"/>
      <c r="E6" s="27" t="s">
        <v>12</v>
      </c>
      <c r="F6" s="940"/>
      <c r="G6" s="938"/>
      <c r="H6" s="1212"/>
    </row>
    <row r="7" spans="1:17">
      <c r="A7" s="1211"/>
      <c r="B7" s="1213"/>
      <c r="C7" s="938"/>
      <c r="D7" s="938"/>
      <c r="E7" s="939"/>
      <c r="F7" s="940"/>
      <c r="G7" s="938"/>
      <c r="H7" s="1212"/>
    </row>
    <row r="8" spans="1:17" ht="25.5">
      <c r="A8" s="34">
        <f>MAX(A$1:A7)+1</f>
        <v>1</v>
      </c>
      <c r="B8" s="1213"/>
      <c r="C8" s="36" t="s">
        <v>13</v>
      </c>
      <c r="D8" s="37"/>
      <c r="E8" s="38" t="s">
        <v>14</v>
      </c>
      <c r="F8" s="39"/>
      <c r="G8" s="40" t="s">
        <v>15</v>
      </c>
      <c r="H8" s="941">
        <v>1.08</v>
      </c>
    </row>
    <row r="9" spans="1:17">
      <c r="A9" s="34"/>
      <c r="B9" s="1213"/>
      <c r="C9" s="36"/>
      <c r="D9" s="37"/>
      <c r="E9" s="38"/>
      <c r="F9" s="46">
        <f>F27</f>
        <v>1.0779999999999998</v>
      </c>
      <c r="G9" s="40"/>
      <c r="H9" s="1212"/>
    </row>
    <row r="10" spans="1:17">
      <c r="A10" s="34"/>
      <c r="B10" s="1213"/>
      <c r="C10" s="36"/>
      <c r="D10" s="37"/>
      <c r="E10" s="38"/>
      <c r="F10" s="46"/>
      <c r="G10" s="40"/>
      <c r="H10" s="1212"/>
    </row>
    <row r="11" spans="1:17">
      <c r="A11" s="34">
        <f>MAX(A$1:A10)+1</f>
        <v>2</v>
      </c>
      <c r="B11" s="1213"/>
      <c r="C11" s="36" t="s">
        <v>228</v>
      </c>
      <c r="D11" s="37"/>
      <c r="E11" s="38" t="s">
        <v>229</v>
      </c>
      <c r="F11" s="39"/>
      <c r="G11" s="40" t="s">
        <v>18</v>
      </c>
      <c r="H11" s="941">
        <v>8.879999999999999</v>
      </c>
    </row>
    <row r="12" spans="1:17">
      <c r="A12" s="34"/>
      <c r="B12" s="1213"/>
      <c r="C12" s="36"/>
      <c r="D12" s="37"/>
      <c r="E12" s="38"/>
      <c r="F12" s="46">
        <f>F41</f>
        <v>8.879999999999999</v>
      </c>
      <c r="G12" s="40"/>
      <c r="H12" s="1212"/>
    </row>
    <row r="13" spans="1:17">
      <c r="A13" s="34"/>
      <c r="B13" s="1213"/>
      <c r="C13" s="36"/>
      <c r="D13" s="37"/>
      <c r="E13" s="38"/>
      <c r="F13" s="46"/>
      <c r="G13" s="40"/>
      <c r="H13" s="1212"/>
    </row>
    <row r="14" spans="1:17" ht="25.5">
      <c r="A14" s="34">
        <f>MAX(A$1:A13)+1</f>
        <v>3</v>
      </c>
      <c r="B14" s="401"/>
      <c r="C14" s="36" t="s">
        <v>2506</v>
      </c>
      <c r="D14" s="37"/>
      <c r="E14" s="38" t="s">
        <v>2507</v>
      </c>
      <c r="F14" s="39"/>
      <c r="G14" s="370" t="s">
        <v>33</v>
      </c>
      <c r="H14" s="390">
        <v>1</v>
      </c>
      <c r="I14" s="410"/>
      <c r="J14" s="602"/>
      <c r="K14" s="602"/>
      <c r="L14" s="602"/>
      <c r="M14" s="602"/>
      <c r="N14" s="602"/>
      <c r="O14" s="602"/>
      <c r="P14" s="208"/>
      <c r="Q14" s="208"/>
    </row>
    <row r="15" spans="1:17">
      <c r="A15" s="400"/>
      <c r="B15" s="401"/>
      <c r="C15" s="36"/>
      <c r="D15" s="66" t="s">
        <v>2508</v>
      </c>
      <c r="E15" s="71" t="s">
        <v>2558</v>
      </c>
      <c r="F15" s="46" t="s">
        <v>693</v>
      </c>
      <c r="G15" s="62" t="s">
        <v>33</v>
      </c>
      <c r="H15" s="389">
        <v>1</v>
      </c>
      <c r="I15" s="410"/>
      <c r="J15" s="602"/>
      <c r="K15" s="602"/>
      <c r="L15" s="602"/>
      <c r="M15" s="602"/>
      <c r="N15" s="602"/>
      <c r="O15" s="602"/>
      <c r="P15" s="208"/>
      <c r="Q15" s="208"/>
    </row>
    <row r="16" spans="1:17">
      <c r="A16" s="400"/>
      <c r="B16" s="401"/>
      <c r="C16" s="379"/>
      <c r="D16" s="380"/>
      <c r="E16" s="402" t="s">
        <v>2559</v>
      </c>
      <c r="F16" s="403">
        <v>1</v>
      </c>
      <c r="G16" s="1187"/>
      <c r="H16" s="389"/>
      <c r="I16" s="410"/>
      <c r="J16" s="602"/>
      <c r="K16" s="602"/>
      <c r="L16" s="602"/>
      <c r="M16" s="602"/>
      <c r="N16" s="602"/>
      <c r="O16" s="602"/>
      <c r="P16" s="208"/>
      <c r="Q16" s="208"/>
    </row>
    <row r="17" spans="1:8" ht="13.5" customHeight="1">
      <c r="A17" s="34"/>
      <c r="B17" s="1213"/>
      <c r="C17" s="36"/>
      <c r="D17" s="37"/>
      <c r="E17" s="38"/>
      <c r="F17" s="46"/>
      <c r="G17" s="40"/>
      <c r="H17" s="1212"/>
    </row>
    <row r="18" spans="1:8" s="466" customFormat="1" ht="12.75" customHeight="1">
      <c r="A18" s="465"/>
      <c r="B18" s="24" t="s">
        <v>19</v>
      </c>
      <c r="C18" s="48"/>
      <c r="D18" s="49"/>
      <c r="E18" s="50" t="s">
        <v>20</v>
      </c>
      <c r="F18" s="264"/>
      <c r="G18" s="40"/>
      <c r="H18" s="356"/>
    </row>
    <row r="19" spans="1:8" s="466" customFormat="1" ht="12.75" customHeight="1">
      <c r="A19" s="465"/>
      <c r="B19" s="237"/>
      <c r="C19" s="48"/>
      <c r="D19" s="49"/>
      <c r="E19" s="50"/>
      <c r="F19" s="264"/>
      <c r="G19" s="40"/>
      <c r="H19" s="1214"/>
    </row>
    <row r="20" spans="1:8" s="466" customFormat="1" ht="12.75" customHeight="1">
      <c r="A20" s="34">
        <f>MAX(A$1:A19)+1</f>
        <v>4</v>
      </c>
      <c r="B20" s="43"/>
      <c r="C20" s="36" t="s">
        <v>67</v>
      </c>
      <c r="D20" s="37"/>
      <c r="E20" s="38" t="s">
        <v>68</v>
      </c>
      <c r="F20" s="321"/>
      <c r="G20" s="366" t="s">
        <v>18</v>
      </c>
      <c r="H20" s="356">
        <v>0.48999999999999994</v>
      </c>
    </row>
    <row r="21" spans="1:8" s="466" customFormat="1" ht="12.75" customHeight="1">
      <c r="A21" s="355"/>
      <c r="B21" s="43"/>
      <c r="C21" s="36"/>
      <c r="D21" s="37"/>
      <c r="E21" s="77" t="s">
        <v>2596</v>
      </c>
      <c r="F21" s="46"/>
      <c r="G21" s="397" t="s">
        <v>18</v>
      </c>
      <c r="H21" s="357">
        <v>0.48999999999999994</v>
      </c>
    </row>
    <row r="22" spans="1:8" s="466" customFormat="1" ht="12.75" customHeight="1">
      <c r="A22" s="355"/>
      <c r="B22" s="43"/>
      <c r="C22" s="36"/>
      <c r="D22" s="37"/>
      <c r="E22" s="77" t="s">
        <v>2597</v>
      </c>
      <c r="F22" s="46">
        <f>(0.7*0.7*1)*1</f>
        <v>0.48999999999999994</v>
      </c>
      <c r="G22" s="397"/>
      <c r="H22" s="357"/>
    </row>
    <row r="23" spans="1:8" s="115" customFormat="1" ht="12.75" customHeight="1">
      <c r="A23" s="465"/>
      <c r="B23" s="427"/>
      <c r="C23" s="139"/>
      <c r="D23" s="37"/>
      <c r="E23" s="38"/>
      <c r="F23" s="264"/>
      <c r="G23" s="40"/>
      <c r="H23" s="1215"/>
    </row>
    <row r="24" spans="1:8">
      <c r="A24" s="34">
        <f>MAX(A$1:A23)+1</f>
        <v>5</v>
      </c>
      <c r="B24" s="238"/>
      <c r="C24" s="36" t="s">
        <v>37</v>
      </c>
      <c r="D24" s="37"/>
      <c r="E24" s="38" t="s">
        <v>38</v>
      </c>
      <c r="F24" s="123"/>
      <c r="G24" s="40" t="s">
        <v>15</v>
      </c>
      <c r="H24" s="143">
        <v>1.08</v>
      </c>
    </row>
    <row r="25" spans="1:8">
      <c r="A25" s="23"/>
      <c r="B25" s="238"/>
      <c r="C25" s="66"/>
      <c r="D25" s="67" t="s">
        <v>39</v>
      </c>
      <c r="E25" s="71" t="s">
        <v>40</v>
      </c>
      <c r="F25" s="46"/>
      <c r="G25" s="62" t="s">
        <v>15</v>
      </c>
      <c r="H25" s="317">
        <v>1.08</v>
      </c>
    </row>
    <row r="26" spans="1:8">
      <c r="A26" s="23"/>
      <c r="B26" s="238"/>
      <c r="C26" s="66"/>
      <c r="D26" s="242"/>
      <c r="E26" s="84" t="s">
        <v>457</v>
      </c>
      <c r="F26" s="46"/>
      <c r="G26" s="62"/>
      <c r="H26" s="577"/>
    </row>
    <row r="27" spans="1:8">
      <c r="A27" s="23"/>
      <c r="B27" s="238"/>
      <c r="C27" s="66"/>
      <c r="D27" s="242"/>
      <c r="E27" s="77" t="s">
        <v>2598</v>
      </c>
      <c r="F27" s="46">
        <f>F22*2.2</f>
        <v>1.0779999999999998</v>
      </c>
      <c r="G27" s="62"/>
      <c r="H27" s="577"/>
    </row>
    <row r="28" spans="1:8">
      <c r="A28" s="23"/>
      <c r="B28" s="238"/>
      <c r="C28" s="66"/>
      <c r="D28" s="242"/>
      <c r="E28" s="65"/>
      <c r="F28" s="46"/>
      <c r="G28" s="62"/>
      <c r="H28" s="577"/>
    </row>
    <row r="29" spans="1:8" s="115" customFormat="1" ht="12.75" customHeight="1">
      <c r="A29" s="465"/>
      <c r="B29" s="35" t="s">
        <v>72</v>
      </c>
      <c r="C29" s="93"/>
      <c r="D29" s="94"/>
      <c r="E29" s="50" t="s">
        <v>73</v>
      </c>
      <c r="F29" s="264"/>
      <c r="G29" s="40"/>
      <c r="H29" s="357"/>
    </row>
    <row r="30" spans="1:8" s="115" customFormat="1" ht="12.75" customHeight="1">
      <c r="A30" s="465"/>
      <c r="B30" s="126"/>
      <c r="C30" s="139"/>
      <c r="D30" s="37"/>
      <c r="E30" s="38"/>
      <c r="F30" s="264"/>
      <c r="G30" s="40"/>
      <c r="H30" s="357"/>
    </row>
    <row r="31" spans="1:8">
      <c r="A31" s="34">
        <f>MAX(A$1:A30)+1</f>
        <v>6</v>
      </c>
      <c r="B31" s="327"/>
      <c r="C31" s="36" t="s">
        <v>74</v>
      </c>
      <c r="D31" s="37"/>
      <c r="E31" s="38" t="s">
        <v>75</v>
      </c>
      <c r="F31" s="123"/>
      <c r="G31" s="40" t="s">
        <v>18</v>
      </c>
      <c r="H31" s="143">
        <v>2.88</v>
      </c>
    </row>
    <row r="32" spans="1:8" ht="12.75" customHeight="1">
      <c r="A32" s="350"/>
      <c r="B32" s="329"/>
      <c r="C32" s="66"/>
      <c r="D32" s="67" t="s">
        <v>76</v>
      </c>
      <c r="E32" s="71" t="s">
        <v>77</v>
      </c>
      <c r="F32" s="46"/>
      <c r="G32" s="62" t="s">
        <v>18</v>
      </c>
      <c r="H32" s="357"/>
    </row>
    <row r="33" spans="1:8" ht="12.75" customHeight="1">
      <c r="A33" s="350"/>
      <c r="B33" s="329"/>
      <c r="C33" s="66"/>
      <c r="D33" s="67"/>
      <c r="E33" s="467" t="s">
        <v>2599</v>
      </c>
      <c r="F33" s="46">
        <v>2.88</v>
      </c>
      <c r="G33" s="62"/>
      <c r="H33" s="357"/>
    </row>
    <row r="34" spans="1:8" ht="12.75" customHeight="1">
      <c r="A34" s="350"/>
      <c r="B34" s="329"/>
      <c r="C34" s="66"/>
      <c r="D34" s="67"/>
      <c r="E34" s="345"/>
      <c r="F34" s="46"/>
      <c r="G34" s="62"/>
      <c r="H34" s="357"/>
    </row>
    <row r="35" spans="1:8" s="115" customFormat="1">
      <c r="A35" s="34">
        <f>MAX(A$1:A31)+1</f>
        <v>7</v>
      </c>
      <c r="B35" s="327"/>
      <c r="C35" s="36" t="s">
        <v>158</v>
      </c>
      <c r="D35" s="37"/>
      <c r="E35" s="38" t="s">
        <v>159</v>
      </c>
      <c r="F35" s="123"/>
      <c r="G35" s="40" t="s">
        <v>18</v>
      </c>
      <c r="H35" s="143">
        <v>24</v>
      </c>
    </row>
    <row r="36" spans="1:8" ht="12.75" customHeight="1">
      <c r="A36" s="320"/>
      <c r="B36" s="80"/>
      <c r="C36" s="66"/>
      <c r="D36" s="67" t="s">
        <v>160</v>
      </c>
      <c r="E36" s="71" t="s">
        <v>161</v>
      </c>
      <c r="F36" s="46"/>
      <c r="G36" s="62" t="s">
        <v>18</v>
      </c>
      <c r="H36" s="486">
        <v>24</v>
      </c>
    </row>
    <row r="37" spans="1:8" ht="12.75" customHeight="1">
      <c r="A37" s="320"/>
      <c r="B37" s="80"/>
      <c r="C37" s="66"/>
      <c r="D37" s="67"/>
      <c r="E37" s="77" t="s">
        <v>2600</v>
      </c>
      <c r="F37" s="46">
        <v>24</v>
      </c>
      <c r="G37" s="62"/>
      <c r="H37" s="486"/>
    </row>
    <row r="38" spans="1:8" ht="12.75" customHeight="1">
      <c r="A38" s="320"/>
      <c r="B38" s="80"/>
      <c r="C38" s="66"/>
      <c r="D38" s="67"/>
      <c r="E38" s="284"/>
      <c r="F38" s="46"/>
      <c r="G38" s="62"/>
      <c r="H38" s="486"/>
    </row>
    <row r="39" spans="1:8" s="115" customFormat="1">
      <c r="A39" s="34">
        <f>MAX(A$1:A35)+1</f>
        <v>8</v>
      </c>
      <c r="B39" s="327"/>
      <c r="C39" s="36" t="s">
        <v>58</v>
      </c>
      <c r="D39" s="37"/>
      <c r="E39" s="38" t="s">
        <v>59</v>
      </c>
      <c r="F39" s="123"/>
      <c r="G39" s="40" t="s">
        <v>18</v>
      </c>
      <c r="H39" s="143">
        <v>8.879999999999999</v>
      </c>
    </row>
    <row r="40" spans="1:8" ht="12.75" customHeight="1">
      <c r="A40" s="468"/>
      <c r="B40" s="469"/>
      <c r="C40" s="66"/>
      <c r="D40" s="67" t="s">
        <v>60</v>
      </c>
      <c r="E40" s="71" t="s">
        <v>61</v>
      </c>
      <c r="F40" s="46"/>
      <c r="G40" s="62" t="s">
        <v>18</v>
      </c>
      <c r="H40" s="357">
        <v>8.879999999999999</v>
      </c>
    </row>
    <row r="41" spans="1:8" ht="12.75" customHeight="1">
      <c r="A41" s="468"/>
      <c r="B41" s="469"/>
      <c r="C41" s="66"/>
      <c r="D41" s="67"/>
      <c r="E41" s="77" t="s">
        <v>2168</v>
      </c>
      <c r="F41" s="46">
        <f>F58</f>
        <v>8.879999999999999</v>
      </c>
      <c r="G41" s="62"/>
      <c r="H41" s="357"/>
    </row>
    <row r="42" spans="1:8" ht="12.75" customHeight="1">
      <c r="A42" s="230"/>
      <c r="B42" s="327"/>
      <c r="C42" s="36"/>
      <c r="D42" s="37"/>
      <c r="E42" s="38"/>
      <c r="F42" s="123"/>
      <c r="G42" s="40"/>
      <c r="H42" s="486"/>
    </row>
    <row r="43" spans="1:8">
      <c r="A43" s="34">
        <f>MAX(A$1:A42)+1</f>
        <v>9</v>
      </c>
      <c r="B43" s="327"/>
      <c r="C43" s="36" t="s">
        <v>78</v>
      </c>
      <c r="D43" s="37"/>
      <c r="E43" s="38" t="s">
        <v>79</v>
      </c>
      <c r="F43" s="123"/>
      <c r="G43" s="40" t="s">
        <v>18</v>
      </c>
      <c r="H43" s="143">
        <v>18</v>
      </c>
    </row>
    <row r="44" spans="1:8" ht="12.75" customHeight="1">
      <c r="A44" s="290"/>
      <c r="B44" s="328"/>
      <c r="C44" s="66"/>
      <c r="D44" s="67" t="s">
        <v>80</v>
      </c>
      <c r="E44" s="71" t="s">
        <v>81</v>
      </c>
      <c r="F44" s="46"/>
      <c r="G44" s="62" t="s">
        <v>18</v>
      </c>
      <c r="H44" s="357">
        <v>18</v>
      </c>
    </row>
    <row r="45" spans="1:8" ht="12.75" customHeight="1">
      <c r="A45" s="290"/>
      <c r="B45" s="328"/>
      <c r="C45" s="66"/>
      <c r="D45" s="67"/>
      <c r="E45" s="77" t="s">
        <v>2601</v>
      </c>
      <c r="F45" s="46">
        <v>18</v>
      </c>
      <c r="G45" s="62"/>
      <c r="H45" s="357"/>
    </row>
    <row r="46" spans="1:8" ht="12.75" customHeight="1">
      <c r="A46" s="290"/>
      <c r="B46" s="328"/>
      <c r="C46" s="66"/>
      <c r="D46" s="67"/>
      <c r="E46" s="71"/>
      <c r="F46" s="46"/>
      <c r="G46" s="62"/>
      <c r="H46" s="357"/>
    </row>
    <row r="47" spans="1:8">
      <c r="A47" s="34">
        <f>MAX(A$1:A43)+1</f>
        <v>10</v>
      </c>
      <c r="B47" s="327"/>
      <c r="C47" s="36" t="s">
        <v>472</v>
      </c>
      <c r="D47" s="37"/>
      <c r="E47" s="38" t="s">
        <v>473</v>
      </c>
      <c r="F47" s="123"/>
      <c r="G47" s="40" t="s">
        <v>18</v>
      </c>
      <c r="H47" s="143">
        <v>6</v>
      </c>
    </row>
    <row r="48" spans="1:8">
      <c r="A48" s="290"/>
      <c r="B48" s="328"/>
      <c r="C48" s="66"/>
      <c r="D48" s="67" t="s">
        <v>474</v>
      </c>
      <c r="E48" s="71" t="s">
        <v>475</v>
      </c>
      <c r="F48" s="46"/>
      <c r="G48" s="62" t="s">
        <v>18</v>
      </c>
      <c r="H48" s="357">
        <v>6</v>
      </c>
    </row>
    <row r="49" spans="1:8">
      <c r="A49" s="290"/>
      <c r="B49" s="328"/>
      <c r="C49" s="66"/>
      <c r="D49" s="67"/>
      <c r="E49" s="77" t="s">
        <v>735</v>
      </c>
      <c r="F49" s="46">
        <v>6</v>
      </c>
      <c r="G49" s="62"/>
      <c r="H49" s="357"/>
    </row>
    <row r="50" spans="1:8">
      <c r="A50" s="290"/>
      <c r="B50" s="328"/>
      <c r="C50" s="66"/>
      <c r="D50" s="67"/>
      <c r="E50" s="467" t="s">
        <v>2602</v>
      </c>
      <c r="F50" s="46"/>
      <c r="G50" s="62"/>
      <c r="H50" s="357"/>
    </row>
    <row r="51" spans="1:8">
      <c r="A51" s="230"/>
      <c r="B51" s="327"/>
      <c r="C51" s="36"/>
      <c r="D51" s="37"/>
      <c r="E51" s="467" t="s">
        <v>728</v>
      </c>
      <c r="F51" s="123"/>
      <c r="G51" s="40"/>
      <c r="H51" s="486"/>
    </row>
    <row r="52" spans="1:8">
      <c r="A52" s="230"/>
      <c r="B52" s="327"/>
      <c r="C52" s="36"/>
      <c r="D52" s="37"/>
      <c r="E52" s="345"/>
      <c r="F52" s="123"/>
      <c r="G52" s="40"/>
      <c r="H52" s="486"/>
    </row>
    <row r="53" spans="1:8">
      <c r="A53" s="34">
        <f>MAX(A$1:A49)+1</f>
        <v>11</v>
      </c>
      <c r="B53" s="43"/>
      <c r="C53" s="36" t="s">
        <v>50</v>
      </c>
      <c r="D53" s="37"/>
      <c r="E53" s="38" t="s">
        <v>51</v>
      </c>
      <c r="F53" s="39"/>
      <c r="G53" s="40" t="s">
        <v>18</v>
      </c>
      <c r="H53" s="143">
        <v>8.879999999999999</v>
      </c>
    </row>
    <row r="54" spans="1:8" ht="25.5">
      <c r="A54" s="230"/>
      <c r="B54" s="73"/>
      <c r="C54" s="66"/>
      <c r="D54" s="67" t="s">
        <v>138</v>
      </c>
      <c r="E54" s="71" t="s">
        <v>139</v>
      </c>
      <c r="F54" s="61"/>
      <c r="G54" s="62" t="s">
        <v>18</v>
      </c>
      <c r="H54" s="118">
        <v>8.879999999999999</v>
      </c>
    </row>
    <row r="55" spans="1:8">
      <c r="A55" s="230"/>
      <c r="B55" s="236"/>
      <c r="C55" s="66"/>
      <c r="D55" s="242"/>
      <c r="E55" s="84" t="s">
        <v>1216</v>
      </c>
      <c r="F55" s="61"/>
      <c r="G55" s="62"/>
      <c r="H55" s="606"/>
    </row>
    <row r="56" spans="1:8">
      <c r="A56" s="230"/>
      <c r="B56" s="236"/>
      <c r="C56" s="66"/>
      <c r="D56" s="242"/>
      <c r="E56" s="65" t="s">
        <v>66</v>
      </c>
      <c r="F56" s="46">
        <f>F33+F37</f>
        <v>26.88</v>
      </c>
      <c r="G56" s="62"/>
      <c r="H56" s="606"/>
    </row>
    <row r="57" spans="1:8">
      <c r="A57" s="23"/>
      <c r="B57" s="233"/>
      <c r="C57" s="31"/>
      <c r="D57" s="234"/>
      <c r="E57" s="77" t="s">
        <v>82</v>
      </c>
      <c r="F57" s="133">
        <f>-F45</f>
        <v>-18</v>
      </c>
      <c r="G57" s="29"/>
      <c r="H57" s="579"/>
    </row>
    <row r="58" spans="1:8">
      <c r="A58" s="23"/>
      <c r="B58" s="233"/>
      <c r="C58" s="31"/>
      <c r="D58" s="234"/>
      <c r="E58" s="77"/>
      <c r="F58" s="81">
        <f>SUM(F56:F57)</f>
        <v>8.879999999999999</v>
      </c>
      <c r="G58" s="29"/>
      <c r="H58" s="579"/>
    </row>
    <row r="59" spans="1:8">
      <c r="A59" s="23"/>
      <c r="B59" s="233"/>
      <c r="C59" s="31"/>
      <c r="D59" s="234"/>
      <c r="E59" s="33"/>
      <c r="F59" s="28"/>
      <c r="G59" s="29"/>
      <c r="H59" s="579"/>
    </row>
    <row r="60" spans="1:8" ht="25.5">
      <c r="A60" s="290"/>
      <c r="B60" s="35" t="s">
        <v>270</v>
      </c>
      <c r="C60" s="35"/>
      <c r="D60" s="94"/>
      <c r="E60" s="211" t="s">
        <v>271</v>
      </c>
      <c r="F60" s="457"/>
      <c r="G60" s="333"/>
      <c r="H60" s="573"/>
    </row>
    <row r="61" spans="1:8" ht="12.75" customHeight="1">
      <c r="A61" s="290"/>
      <c r="B61" s="328"/>
      <c r="C61" s="331"/>
      <c r="D61" s="332"/>
      <c r="E61" s="345"/>
      <c r="F61" s="457"/>
      <c r="G61" s="333"/>
      <c r="H61" s="573"/>
    </row>
    <row r="62" spans="1:8" ht="12.75" customHeight="1">
      <c r="A62" s="34">
        <f>MAX(A$1:A61)+1</f>
        <v>12</v>
      </c>
      <c r="B62" s="328"/>
      <c r="C62" s="36" t="s">
        <v>546</v>
      </c>
      <c r="D62" s="37"/>
      <c r="E62" s="38" t="s">
        <v>547</v>
      </c>
      <c r="F62" s="39"/>
      <c r="G62" s="40" t="s">
        <v>18</v>
      </c>
      <c r="H62" s="143">
        <v>4.2</v>
      </c>
    </row>
    <row r="63" spans="1:8" ht="12.75" customHeight="1">
      <c r="A63" s="290"/>
      <c r="B63" s="328"/>
      <c r="C63" s="117"/>
      <c r="D63" s="191" t="s">
        <v>548</v>
      </c>
      <c r="E63" s="193" t="s">
        <v>2415</v>
      </c>
      <c r="F63" s="192"/>
      <c r="G63" s="62" t="s">
        <v>18</v>
      </c>
      <c r="H63" s="583">
        <v>4.2</v>
      </c>
    </row>
    <row r="64" spans="1:8" ht="12.75" customHeight="1">
      <c r="A64" s="290"/>
      <c r="B64" s="328"/>
      <c r="C64" s="117"/>
      <c r="D64" s="37"/>
      <c r="E64" s="467" t="s">
        <v>2603</v>
      </c>
      <c r="F64" s="457">
        <v>4.2</v>
      </c>
      <c r="G64" s="40"/>
      <c r="H64" s="578"/>
    </row>
    <row r="65" spans="1:8">
      <c r="A65" s="230"/>
      <c r="B65" s="329"/>
      <c r="C65" s="66"/>
      <c r="D65" s="67"/>
      <c r="E65" s="284"/>
      <c r="F65" s="46"/>
      <c r="G65" s="62"/>
      <c r="H65" s="583"/>
    </row>
    <row r="66" spans="1:8" s="115" customFormat="1" ht="15.75">
      <c r="A66" s="290"/>
      <c r="B66" s="35" t="s">
        <v>225</v>
      </c>
      <c r="C66" s="35"/>
      <c r="D66" s="94"/>
      <c r="E66" s="50" t="s">
        <v>226</v>
      </c>
      <c r="F66" s="291"/>
      <c r="G66" s="247"/>
      <c r="H66" s="573"/>
    </row>
    <row r="67" spans="1:8" ht="12.75" customHeight="1">
      <c r="A67" s="290"/>
      <c r="B67" s="328"/>
      <c r="C67" s="331"/>
      <c r="D67" s="332"/>
      <c r="E67" s="226"/>
      <c r="F67" s="457"/>
      <c r="G67" s="333"/>
      <c r="H67" s="573"/>
    </row>
    <row r="68" spans="1:8" ht="12.75" customHeight="1">
      <c r="A68" s="34">
        <f>MAX(A$1:A67)+1</f>
        <v>13</v>
      </c>
      <c r="B68" s="244"/>
      <c r="C68" s="195">
        <v>91080101</v>
      </c>
      <c r="D68" s="196"/>
      <c r="E68" s="38" t="s">
        <v>227</v>
      </c>
      <c r="F68" s="123"/>
      <c r="G68" s="40" t="s">
        <v>36</v>
      </c>
      <c r="H68" s="143">
        <v>65</v>
      </c>
    </row>
    <row r="69" spans="1:8" ht="12.75" customHeight="1">
      <c r="A69" s="290"/>
      <c r="B69" s="245"/>
      <c r="C69" s="198"/>
      <c r="D69" s="199">
        <v>9108010101</v>
      </c>
      <c r="E69" s="71" t="s">
        <v>730</v>
      </c>
      <c r="F69" s="46"/>
      <c r="G69" s="62" t="s">
        <v>36</v>
      </c>
      <c r="H69" s="593">
        <v>40</v>
      </c>
    </row>
    <row r="70" spans="1:8" ht="12.75" customHeight="1">
      <c r="A70" s="290"/>
      <c r="B70" s="328"/>
      <c r="C70" s="331"/>
      <c r="D70" s="332"/>
      <c r="E70" s="330" t="s">
        <v>2604</v>
      </c>
      <c r="F70" s="454">
        <v>40</v>
      </c>
      <c r="G70" s="333"/>
      <c r="H70" s="573"/>
    </row>
    <row r="71" spans="1:8" ht="12.75" customHeight="1">
      <c r="A71" s="290"/>
      <c r="B71" s="328"/>
      <c r="C71" s="331"/>
      <c r="D71" s="332"/>
      <c r="E71" s="330"/>
      <c r="F71" s="454"/>
      <c r="G71" s="333"/>
      <c r="H71" s="573"/>
    </row>
    <row r="72" spans="1:8">
      <c r="A72" s="230"/>
      <c r="B72" s="329"/>
      <c r="C72" s="198"/>
      <c r="D72" s="199">
        <v>9108010108</v>
      </c>
      <c r="E72" s="71" t="s">
        <v>694</v>
      </c>
      <c r="F72" s="46"/>
      <c r="G72" s="62" t="s">
        <v>36</v>
      </c>
      <c r="H72" s="486">
        <v>25</v>
      </c>
    </row>
    <row r="73" spans="1:8" ht="12.75" customHeight="1">
      <c r="A73" s="290"/>
      <c r="B73" s="328"/>
      <c r="C73" s="331"/>
      <c r="D73" s="332"/>
      <c r="E73" s="330" t="s">
        <v>2604</v>
      </c>
      <c r="F73" s="454">
        <v>25</v>
      </c>
      <c r="G73" s="333"/>
      <c r="H73" s="1216"/>
    </row>
    <row r="74" spans="1:8" ht="12.75" customHeight="1">
      <c r="A74" s="290"/>
      <c r="B74" s="328"/>
      <c r="C74" s="331"/>
      <c r="D74" s="332"/>
      <c r="E74" s="330"/>
      <c r="F74" s="454"/>
      <c r="G74" s="333"/>
      <c r="H74" s="1216"/>
    </row>
    <row r="75" spans="1:8" s="410" customFormat="1" ht="12.75">
      <c r="A75" s="34">
        <f>MAX(A$1:A74)+1</f>
        <v>14</v>
      </c>
      <c r="B75" s="335"/>
      <c r="C75" s="195">
        <v>91080118</v>
      </c>
      <c r="D75" s="196"/>
      <c r="E75" s="38" t="s">
        <v>558</v>
      </c>
      <c r="F75" s="444"/>
      <c r="G75" s="336" t="s">
        <v>36</v>
      </c>
      <c r="H75" s="143">
        <v>25</v>
      </c>
    </row>
    <row r="76" spans="1:8" s="410" customFormat="1" ht="12.75">
      <c r="A76" s="293"/>
      <c r="B76" s="335"/>
      <c r="C76" s="198"/>
      <c r="D76" s="199">
        <v>9108011801</v>
      </c>
      <c r="E76" s="71" t="s">
        <v>559</v>
      </c>
      <c r="F76" s="445"/>
      <c r="G76" s="338" t="s">
        <v>36</v>
      </c>
      <c r="H76" s="593">
        <v>25</v>
      </c>
    </row>
    <row r="77" spans="1:8" s="410" customFormat="1" ht="12.75">
      <c r="A77" s="293"/>
      <c r="B77" s="340"/>
      <c r="C77" s="341"/>
      <c r="D77" s="342"/>
      <c r="E77" s="470" t="s">
        <v>711</v>
      </c>
      <c r="F77" s="451">
        <v>25</v>
      </c>
      <c r="G77" s="338"/>
      <c r="H77" s="584"/>
    </row>
    <row r="78" spans="1:8" s="410" customFormat="1" ht="12.75">
      <c r="A78" s="293"/>
      <c r="B78" s="335"/>
      <c r="C78" s="455"/>
      <c r="D78" s="342"/>
      <c r="E78" s="305"/>
      <c r="F78" s="445"/>
      <c r="G78" s="338"/>
      <c r="H78" s="584"/>
    </row>
    <row r="79" spans="1:8" ht="12.75" customHeight="1">
      <c r="A79" s="34">
        <f>MAX(A$1:A78)+1</f>
        <v>15</v>
      </c>
      <c r="B79" s="244"/>
      <c r="C79" s="195">
        <v>91090101</v>
      </c>
      <c r="D79" s="196"/>
      <c r="E79" s="38" t="s">
        <v>667</v>
      </c>
      <c r="F79" s="123"/>
      <c r="G79" s="40" t="s">
        <v>36</v>
      </c>
      <c r="H79" s="143">
        <v>10</v>
      </c>
    </row>
    <row r="80" spans="1:8" ht="12.75" customHeight="1">
      <c r="A80" s="290"/>
      <c r="B80" s="245"/>
      <c r="C80" s="198"/>
      <c r="D80" s="199">
        <v>9109010101</v>
      </c>
      <c r="E80" s="71" t="s">
        <v>699</v>
      </c>
      <c r="F80" s="46"/>
      <c r="G80" s="62" t="s">
        <v>36</v>
      </c>
      <c r="H80" s="357">
        <v>10</v>
      </c>
    </row>
    <row r="81" spans="1:8" ht="12.75" customHeight="1">
      <c r="A81" s="290"/>
      <c r="B81" s="328"/>
      <c r="C81" s="331"/>
      <c r="D81" s="332"/>
      <c r="E81" s="467" t="s">
        <v>736</v>
      </c>
      <c r="F81" s="454">
        <v>10</v>
      </c>
      <c r="G81" s="333"/>
      <c r="H81" s="573"/>
    </row>
    <row r="82" spans="1:8" ht="12.75" customHeight="1">
      <c r="A82" s="290"/>
      <c r="B82" s="328"/>
      <c r="C82" s="331"/>
      <c r="D82" s="332"/>
      <c r="E82" s="226"/>
      <c r="F82" s="454"/>
      <c r="G82" s="333"/>
      <c r="H82" s="573"/>
    </row>
    <row r="83" spans="1:8" ht="25.5">
      <c r="A83" s="34">
        <f>MAX(A$1:A82)+1</f>
        <v>16</v>
      </c>
      <c r="B83" s="244"/>
      <c r="C83" s="195">
        <v>91100102</v>
      </c>
      <c r="D83" s="196"/>
      <c r="E83" s="38" t="s">
        <v>616</v>
      </c>
      <c r="F83" s="123"/>
      <c r="G83" s="40" t="s">
        <v>33</v>
      </c>
      <c r="H83" s="143">
        <v>2</v>
      </c>
    </row>
    <row r="84" spans="1:8" ht="25.5">
      <c r="A84" s="290"/>
      <c r="B84" s="245"/>
      <c r="C84" s="198"/>
      <c r="D84" s="199">
        <v>9110010202</v>
      </c>
      <c r="E84" s="71" t="s">
        <v>617</v>
      </c>
      <c r="F84" s="46"/>
      <c r="G84" s="62" t="s">
        <v>33</v>
      </c>
      <c r="H84" s="357">
        <v>2</v>
      </c>
    </row>
    <row r="85" spans="1:8">
      <c r="A85" s="290"/>
      <c r="B85" s="328"/>
      <c r="C85" s="331"/>
      <c r="D85" s="332"/>
      <c r="E85" s="467" t="s">
        <v>737</v>
      </c>
      <c r="F85" s="457">
        <v>2</v>
      </c>
      <c r="G85" s="333"/>
      <c r="H85" s="573"/>
    </row>
    <row r="86" spans="1:8">
      <c r="A86" s="290"/>
      <c r="B86" s="328"/>
      <c r="C86" s="331"/>
      <c r="D86" s="332"/>
      <c r="E86" s="345"/>
      <c r="F86" s="457"/>
      <c r="G86" s="333"/>
      <c r="H86" s="573"/>
    </row>
    <row r="87" spans="1:8">
      <c r="A87" s="34">
        <f>MAX(A$1:A86)+1</f>
        <v>17</v>
      </c>
      <c r="B87" s="244"/>
      <c r="C87" s="195">
        <v>91190103</v>
      </c>
      <c r="D87" s="196"/>
      <c r="E87" s="38" t="s">
        <v>691</v>
      </c>
      <c r="F87" s="123"/>
      <c r="G87" s="40" t="s">
        <v>33</v>
      </c>
      <c r="H87" s="143">
        <v>1</v>
      </c>
    </row>
    <row r="88" spans="1:8" ht="25.5">
      <c r="A88" s="290"/>
      <c r="B88" s="245"/>
      <c r="C88" s="198"/>
      <c r="D88" s="199">
        <v>9119010301</v>
      </c>
      <c r="E88" s="71" t="s">
        <v>692</v>
      </c>
      <c r="F88" s="46"/>
      <c r="G88" s="62" t="s">
        <v>33</v>
      </c>
      <c r="H88" s="357">
        <v>1</v>
      </c>
    </row>
    <row r="89" spans="1:8" ht="12.75" customHeight="1">
      <c r="A89" s="290"/>
      <c r="B89" s="328"/>
      <c r="C89" s="331"/>
      <c r="D89" s="332"/>
      <c r="E89" s="330" t="s">
        <v>2605</v>
      </c>
      <c r="F89" s="457">
        <v>1</v>
      </c>
      <c r="G89" s="333"/>
      <c r="H89" s="573"/>
    </row>
    <row r="90" spans="1:8">
      <c r="A90" s="290"/>
      <c r="B90" s="328"/>
      <c r="C90" s="331"/>
      <c r="D90" s="332"/>
      <c r="E90" s="345"/>
      <c r="F90" s="457"/>
      <c r="G90" s="333"/>
      <c r="H90" s="573"/>
    </row>
    <row r="91" spans="1:8" s="450" customFormat="1" ht="25.5">
      <c r="A91" s="520"/>
      <c r="B91" s="35" t="s">
        <v>480</v>
      </c>
      <c r="C91" s="35"/>
      <c r="D91" s="94"/>
      <c r="E91" s="50" t="s">
        <v>481</v>
      </c>
      <c r="F91" s="515"/>
      <c r="G91" s="516"/>
      <c r="H91" s="573"/>
    </row>
    <row r="92" spans="1:8" ht="12.75" customHeight="1">
      <c r="A92" s="290"/>
      <c r="B92" s="328"/>
      <c r="C92" s="331"/>
      <c r="D92" s="332"/>
      <c r="E92" s="345"/>
      <c r="F92" s="454"/>
      <c r="G92" s="333"/>
      <c r="H92" s="573"/>
    </row>
    <row r="93" spans="1:8" s="115" customFormat="1" ht="25.5">
      <c r="A93" s="334">
        <f>MAX(A$1:A92)+1</f>
        <v>18</v>
      </c>
      <c r="B93" s="43"/>
      <c r="C93" s="195">
        <v>91220702</v>
      </c>
      <c r="D93" s="196"/>
      <c r="E93" s="38" t="s">
        <v>648</v>
      </c>
      <c r="F93" s="39"/>
      <c r="G93" s="40" t="s">
        <v>33</v>
      </c>
      <c r="H93" s="143">
        <v>6</v>
      </c>
    </row>
    <row r="94" spans="1:8" s="115" customFormat="1" ht="25.5">
      <c r="A94" s="230"/>
      <c r="B94" s="43"/>
      <c r="C94" s="195"/>
      <c r="D94" s="199">
        <v>9122070201</v>
      </c>
      <c r="E94" s="71" t="s">
        <v>649</v>
      </c>
      <c r="F94" s="61"/>
      <c r="G94" s="62" t="s">
        <v>33</v>
      </c>
      <c r="H94" s="357">
        <v>6</v>
      </c>
    </row>
    <row r="95" spans="1:8" s="115" customFormat="1">
      <c r="A95" s="230"/>
      <c r="B95" s="43"/>
      <c r="C95" s="195"/>
      <c r="D95" s="196"/>
      <c r="E95" s="467" t="s">
        <v>650</v>
      </c>
      <c r="F95" s="457">
        <v>4</v>
      </c>
      <c r="G95" s="40"/>
      <c r="H95" s="487"/>
    </row>
    <row r="96" spans="1:8" s="115" customFormat="1">
      <c r="A96" s="230"/>
      <c r="B96" s="43"/>
      <c r="C96" s="195"/>
      <c r="D96" s="196"/>
      <c r="E96" s="467" t="s">
        <v>733</v>
      </c>
      <c r="F96" s="458">
        <v>2</v>
      </c>
      <c r="G96" s="40"/>
      <c r="H96" s="487"/>
    </row>
    <row r="97" spans="1:8" s="115" customFormat="1">
      <c r="A97" s="230"/>
      <c r="B97" s="43"/>
      <c r="C97" s="195"/>
      <c r="D97" s="196"/>
      <c r="E97" s="345"/>
      <c r="F97" s="454">
        <f>SUM(F95:F96)</f>
        <v>6</v>
      </c>
      <c r="G97" s="40"/>
      <c r="H97" s="487"/>
    </row>
    <row r="98" spans="1:8" s="115" customFormat="1">
      <c r="A98" s="230"/>
      <c r="B98" s="43"/>
      <c r="C98" s="195"/>
      <c r="D98" s="196"/>
      <c r="E98" s="38"/>
      <c r="F98" s="39"/>
      <c r="G98" s="40"/>
      <c r="H98" s="487"/>
    </row>
    <row r="99" spans="1:8" s="115" customFormat="1" ht="25.5">
      <c r="A99" s="334">
        <f>MAX(A$1:A98)+1</f>
        <v>19</v>
      </c>
      <c r="B99" s="328"/>
      <c r="C99" s="195">
        <v>91221001</v>
      </c>
      <c r="D99" s="196"/>
      <c r="E99" s="38" t="s">
        <v>619</v>
      </c>
      <c r="F99" s="123"/>
      <c r="G99" s="40" t="s">
        <v>36</v>
      </c>
      <c r="H99" s="143">
        <v>34</v>
      </c>
    </row>
    <row r="100" spans="1:8" s="115" customFormat="1" ht="25.5">
      <c r="A100" s="290"/>
      <c r="B100" s="328"/>
      <c r="C100" s="198"/>
      <c r="D100" s="199">
        <v>9122100101</v>
      </c>
      <c r="E100" s="71" t="s">
        <v>651</v>
      </c>
      <c r="F100" s="46"/>
      <c r="G100" s="62" t="s">
        <v>36</v>
      </c>
      <c r="H100" s="357">
        <v>4</v>
      </c>
    </row>
    <row r="101" spans="1:8" s="115" customFormat="1" ht="12.75" customHeight="1">
      <c r="A101" s="290"/>
      <c r="B101" s="328"/>
      <c r="C101" s="331"/>
      <c r="D101" s="332"/>
      <c r="E101" s="467" t="s">
        <v>707</v>
      </c>
      <c r="F101" s="457">
        <v>4</v>
      </c>
      <c r="G101" s="333"/>
      <c r="H101" s="573"/>
    </row>
    <row r="102" spans="1:8" s="115" customFormat="1" ht="25.5">
      <c r="A102" s="290"/>
      <c r="B102" s="328"/>
      <c r="C102" s="198"/>
      <c r="D102" s="199">
        <v>9122100103</v>
      </c>
      <c r="E102" s="71" t="s">
        <v>620</v>
      </c>
      <c r="F102" s="46"/>
      <c r="G102" s="62" t="s">
        <v>36</v>
      </c>
      <c r="H102" s="357">
        <v>30</v>
      </c>
    </row>
    <row r="103" spans="1:8" s="115" customFormat="1" ht="12.75" customHeight="1">
      <c r="A103" s="290"/>
      <c r="B103" s="328"/>
      <c r="C103" s="331"/>
      <c r="D103" s="332"/>
      <c r="E103" s="467" t="s">
        <v>734</v>
      </c>
      <c r="F103" s="457">
        <v>30</v>
      </c>
      <c r="G103" s="333"/>
      <c r="H103" s="573"/>
    </row>
    <row r="104" spans="1:8" s="115" customFormat="1" ht="12.75" customHeight="1">
      <c r="A104" s="290"/>
      <c r="B104" s="328"/>
      <c r="C104" s="331"/>
      <c r="D104" s="332"/>
      <c r="E104" s="467"/>
      <c r="F104" s="454"/>
      <c r="G104" s="333"/>
      <c r="H104" s="573"/>
    </row>
    <row r="105" spans="1:8" ht="15.75" thickBot="1">
      <c r="A105" s="471"/>
      <c r="B105" s="472"/>
      <c r="C105" s="473"/>
      <c r="D105" s="474"/>
      <c r="E105" s="475"/>
      <c r="F105" s="476"/>
      <c r="G105" s="477"/>
      <c r="H105" s="580"/>
    </row>
    <row r="106" spans="1:8" ht="8.25" customHeight="1">
      <c r="A106" s="478"/>
      <c r="B106" s="479"/>
      <c r="C106" s="331"/>
      <c r="D106" s="480"/>
      <c r="E106" s="226"/>
      <c r="F106" s="454"/>
      <c r="G106" s="481"/>
      <c r="H106" s="581"/>
    </row>
    <row r="107" spans="1:8" ht="18" customHeight="1"/>
  </sheetData>
  <sheetProtection algorithmName="SHA-512" hashValue="IvwRoZ//n/7pW/0I9Dbutohmyc6rU8xalQcScIR79vbKalruyjSG0BtyXswdzbrStcrucuTNuBF+RUXgeAkuGA==" saltValue="5G6TGexVcJbsdCo1BPyqS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9F29A-91DF-4CA6-B466-294B1F0E032B}">
  <sheetPr codeName="Hárok33"/>
  <dimension ref="A1:Q105"/>
  <sheetViews>
    <sheetView showGridLines="0" workbookViewId="0">
      <selection activeCell="H3" sqref="H3:H4"/>
    </sheetView>
  </sheetViews>
  <sheetFormatPr defaultRowHeight="15"/>
  <cols>
    <col min="1" max="1" width="4.7109375" style="115" customWidth="1"/>
    <col min="2" max="2" width="8.140625" style="1217" customWidth="1"/>
    <col min="3" max="3" width="9" style="115" customWidth="1"/>
    <col min="4" max="4" width="10.85546875" style="115" customWidth="1"/>
    <col min="5" max="5" width="52.7109375" style="115" customWidth="1"/>
    <col min="6" max="6" width="9.85546875" style="1218" customWidth="1"/>
    <col min="7" max="7" width="5.7109375" style="115" customWidth="1"/>
    <col min="8" max="8" width="13" style="1219" customWidth="1"/>
  </cols>
  <sheetData>
    <row r="1" spans="1:17">
      <c r="A1" s="2" t="s">
        <v>1</v>
      </c>
      <c r="B1" s="122"/>
      <c r="C1" s="3"/>
      <c r="D1" s="4"/>
      <c r="E1" s="4" t="s">
        <v>2607</v>
      </c>
      <c r="F1" s="279"/>
      <c r="G1" s="7"/>
      <c r="H1" s="575"/>
    </row>
    <row r="2" spans="1:17" ht="15.75" thickBot="1">
      <c r="A2" s="9" t="s">
        <v>2</v>
      </c>
      <c r="B2" s="2"/>
      <c r="C2" s="3"/>
      <c r="D2" s="4"/>
      <c r="E2" s="10">
        <v>2224</v>
      </c>
      <c r="F2" s="279"/>
      <c r="G2" s="11"/>
      <c r="H2" s="576"/>
    </row>
    <row r="3" spans="1:17">
      <c r="A3" s="1331" t="s">
        <v>3</v>
      </c>
      <c r="B3" s="1369"/>
      <c r="C3" s="1332"/>
      <c r="D3" s="13"/>
      <c r="E3" s="1333" t="s">
        <v>4</v>
      </c>
      <c r="F3" s="1334"/>
      <c r="G3" s="1337" t="s">
        <v>5</v>
      </c>
      <c r="H3" s="1370" t="s">
        <v>6</v>
      </c>
    </row>
    <row r="4" spans="1:17" ht="15.75" thickBot="1">
      <c r="A4" s="14" t="s">
        <v>7</v>
      </c>
      <c r="B4" s="488" t="s">
        <v>2595</v>
      </c>
      <c r="C4" s="15" t="s">
        <v>9</v>
      </c>
      <c r="D4" s="15" t="s">
        <v>10</v>
      </c>
      <c r="E4" s="1335"/>
      <c r="F4" s="1336"/>
      <c r="G4" s="1338"/>
      <c r="H4" s="1371"/>
    </row>
    <row r="5" spans="1:17">
      <c r="A5" s="1205"/>
      <c r="B5" s="1206"/>
      <c r="C5" s="1207"/>
      <c r="D5" s="1207"/>
      <c r="E5" s="1208"/>
      <c r="F5" s="1209"/>
      <c r="G5" s="1207"/>
      <c r="H5" s="1210"/>
    </row>
    <row r="6" spans="1:17">
      <c r="A6" s="1211"/>
      <c r="B6" s="24" t="s">
        <v>11</v>
      </c>
      <c r="C6" s="25"/>
      <c r="D6" s="26"/>
      <c r="E6" s="27" t="s">
        <v>12</v>
      </c>
      <c r="F6" s="940"/>
      <c r="G6" s="938"/>
      <c r="H6" s="1212"/>
    </row>
    <row r="7" spans="1:17">
      <c r="A7" s="1211"/>
      <c r="B7" s="1213"/>
      <c r="C7" s="938"/>
      <c r="D7" s="938"/>
      <c r="E7" s="939"/>
      <c r="F7" s="940"/>
      <c r="G7" s="938"/>
      <c r="H7" s="1212"/>
    </row>
    <row r="8" spans="1:17" ht="25.5">
      <c r="A8" s="34">
        <f>MAX(A$1:A7)+1</f>
        <v>1</v>
      </c>
      <c r="B8" s="1213"/>
      <c r="C8" s="36" t="s">
        <v>13</v>
      </c>
      <c r="D8" s="37"/>
      <c r="E8" s="38" t="s">
        <v>14</v>
      </c>
      <c r="F8" s="39"/>
      <c r="G8" s="40" t="s">
        <v>15</v>
      </c>
      <c r="H8" s="941">
        <v>1.08</v>
      </c>
    </row>
    <row r="9" spans="1:17">
      <c r="A9" s="34"/>
      <c r="B9" s="1213"/>
      <c r="C9" s="36"/>
      <c r="D9" s="37"/>
      <c r="E9" s="38"/>
      <c r="F9" s="46">
        <f>F27</f>
        <v>1.0780000000000001</v>
      </c>
      <c r="G9" s="40"/>
      <c r="H9" s="1212"/>
    </row>
    <row r="10" spans="1:17">
      <c r="A10" s="34"/>
      <c r="B10" s="1213"/>
      <c r="C10" s="36"/>
      <c r="D10" s="37"/>
      <c r="E10" s="38"/>
      <c r="F10" s="46"/>
      <c r="G10" s="40"/>
      <c r="H10" s="1212"/>
    </row>
    <row r="11" spans="1:17">
      <c r="A11" s="34">
        <f>MAX(A$1:A10)+1</f>
        <v>2</v>
      </c>
      <c r="B11" s="1213"/>
      <c r="C11" s="36" t="s">
        <v>228</v>
      </c>
      <c r="D11" s="37"/>
      <c r="E11" s="38" t="s">
        <v>229</v>
      </c>
      <c r="F11" s="39"/>
      <c r="G11" s="40" t="s">
        <v>18</v>
      </c>
      <c r="H11" s="941">
        <v>11.879999999999999</v>
      </c>
    </row>
    <row r="12" spans="1:17">
      <c r="A12" s="34"/>
      <c r="B12" s="1213"/>
      <c r="C12" s="36"/>
      <c r="D12" s="37"/>
      <c r="E12" s="38"/>
      <c r="F12" s="46">
        <f>F41</f>
        <v>11.879999999999999</v>
      </c>
      <c r="G12" s="40"/>
      <c r="H12" s="1212"/>
    </row>
    <row r="13" spans="1:17">
      <c r="A13" s="34"/>
      <c r="B13" s="1213"/>
      <c r="C13" s="36"/>
      <c r="D13" s="37"/>
      <c r="E13" s="38"/>
      <c r="F13" s="46"/>
      <c r="G13" s="32"/>
      <c r="H13" s="1215"/>
    </row>
    <row r="14" spans="1:17" ht="25.5">
      <c r="A14" s="34">
        <f>MAX(A$1:A13)+1</f>
        <v>3</v>
      </c>
      <c r="B14" s="401"/>
      <c r="C14" s="36" t="s">
        <v>2506</v>
      </c>
      <c r="D14" s="37"/>
      <c r="E14" s="38" t="s">
        <v>2507</v>
      </c>
      <c r="F14" s="39"/>
      <c r="G14" s="370" t="s">
        <v>33</v>
      </c>
      <c r="H14" s="390">
        <v>1</v>
      </c>
      <c r="I14" s="410"/>
      <c r="J14" s="602"/>
      <c r="K14" s="602"/>
      <c r="L14" s="602"/>
      <c r="M14" s="602"/>
      <c r="N14" s="602"/>
      <c r="O14" s="602"/>
      <c r="P14" s="208"/>
      <c r="Q14" s="208"/>
    </row>
    <row r="15" spans="1:17">
      <c r="A15" s="34"/>
      <c r="B15" s="401"/>
      <c r="C15" s="36"/>
      <c r="D15" s="66" t="s">
        <v>2508</v>
      </c>
      <c r="E15" s="71" t="s">
        <v>2558</v>
      </c>
      <c r="F15" s="46" t="s">
        <v>693</v>
      </c>
      <c r="G15" s="62" t="s">
        <v>33</v>
      </c>
      <c r="H15" s="389">
        <v>1</v>
      </c>
      <c r="I15" s="410"/>
      <c r="J15" s="602"/>
      <c r="K15" s="602"/>
      <c r="L15" s="602"/>
      <c r="M15" s="602"/>
      <c r="N15" s="602"/>
      <c r="O15" s="602"/>
      <c r="P15" s="208"/>
      <c r="Q15" s="208"/>
    </row>
    <row r="16" spans="1:17">
      <c r="A16" s="400"/>
      <c r="B16" s="401"/>
      <c r="C16" s="379"/>
      <c r="D16" s="380"/>
      <c r="E16" s="402" t="s">
        <v>2559</v>
      </c>
      <c r="F16" s="403">
        <v>1</v>
      </c>
      <c r="G16" s="1187"/>
      <c r="H16" s="389"/>
      <c r="I16" s="410"/>
      <c r="J16" s="602"/>
      <c r="K16" s="602"/>
      <c r="L16" s="602"/>
      <c r="M16" s="602"/>
      <c r="N16" s="602"/>
      <c r="O16" s="602"/>
      <c r="P16" s="208"/>
      <c r="Q16" s="208"/>
    </row>
    <row r="17" spans="1:10">
      <c r="A17" s="34"/>
      <c r="B17" s="1213"/>
      <c r="C17" s="36"/>
      <c r="D17" s="37"/>
      <c r="E17" s="38"/>
      <c r="F17" s="46"/>
      <c r="G17" s="40"/>
      <c r="H17" s="1212"/>
    </row>
    <row r="18" spans="1:10" s="466" customFormat="1" ht="15.75">
      <c r="A18" s="465"/>
      <c r="B18" s="24" t="s">
        <v>19</v>
      </c>
      <c r="C18" s="48"/>
      <c r="D18" s="49"/>
      <c r="E18" s="50" t="s">
        <v>20</v>
      </c>
      <c r="F18" s="264"/>
      <c r="G18" s="40"/>
      <c r="H18" s="356"/>
    </row>
    <row r="19" spans="1:10" s="466" customFormat="1" ht="15.75">
      <c r="A19" s="465"/>
      <c r="B19" s="237"/>
      <c r="C19" s="48"/>
      <c r="D19" s="49"/>
      <c r="E19" s="50"/>
      <c r="F19" s="264"/>
      <c r="G19" s="40"/>
      <c r="H19" s="1214"/>
    </row>
    <row r="20" spans="1:10" s="466" customFormat="1">
      <c r="A20" s="355">
        <v>6</v>
      </c>
      <c r="B20" s="43"/>
      <c r="C20" s="36" t="s">
        <v>67</v>
      </c>
      <c r="D20" s="37"/>
      <c r="E20" s="38" t="s">
        <v>68</v>
      </c>
      <c r="F20" s="321"/>
      <c r="G20" s="366" t="s">
        <v>18</v>
      </c>
      <c r="H20" s="356">
        <v>0.49</v>
      </c>
    </row>
    <row r="21" spans="1:10" s="466" customFormat="1">
      <c r="A21" s="355"/>
      <c r="B21" s="43"/>
      <c r="C21" s="36"/>
      <c r="D21" s="37"/>
      <c r="E21" s="77" t="s">
        <v>2596</v>
      </c>
      <c r="F21" s="46"/>
      <c r="G21" s="397" t="s">
        <v>18</v>
      </c>
      <c r="H21" s="357">
        <v>0.49</v>
      </c>
    </row>
    <row r="22" spans="1:10" s="466" customFormat="1">
      <c r="A22" s="355"/>
      <c r="B22" s="43"/>
      <c r="C22" s="36"/>
      <c r="D22" s="37"/>
      <c r="E22" s="77" t="s">
        <v>2597</v>
      </c>
      <c r="F22" s="46">
        <v>0.49</v>
      </c>
      <c r="G22" s="397"/>
      <c r="H22" s="357"/>
    </row>
    <row r="23" spans="1:10" s="115" customFormat="1">
      <c r="A23" s="465"/>
      <c r="B23" s="427"/>
      <c r="C23" s="139"/>
      <c r="D23" s="37"/>
      <c r="E23" s="38"/>
      <c r="F23" s="264"/>
      <c r="G23" s="40"/>
      <c r="H23" s="1215"/>
    </row>
    <row r="24" spans="1:10">
      <c r="A24" s="34">
        <f>MAX(A$1:A23)+1</f>
        <v>7</v>
      </c>
      <c r="B24" s="238"/>
      <c r="C24" s="36" t="s">
        <v>37</v>
      </c>
      <c r="D24" s="37"/>
      <c r="E24" s="38" t="s">
        <v>38</v>
      </c>
      <c r="F24" s="123"/>
      <c r="G24" s="40" t="s">
        <v>15</v>
      </c>
      <c r="H24" s="143">
        <v>1.08</v>
      </c>
    </row>
    <row r="25" spans="1:10">
      <c r="A25" s="23"/>
      <c r="B25" s="238"/>
      <c r="C25" s="66"/>
      <c r="D25" s="67" t="s">
        <v>39</v>
      </c>
      <c r="E25" s="71" t="s">
        <v>40</v>
      </c>
      <c r="F25" s="46"/>
      <c r="G25" s="62" t="s">
        <v>15</v>
      </c>
      <c r="H25" s="317">
        <v>1.08</v>
      </c>
    </row>
    <row r="26" spans="1:10">
      <c r="A26" s="23"/>
      <c r="B26" s="238"/>
      <c r="C26" s="66"/>
      <c r="D26" s="242"/>
      <c r="E26" s="84" t="s">
        <v>457</v>
      </c>
      <c r="F26" s="46"/>
      <c r="G26" s="62"/>
      <c r="H26" s="577"/>
    </row>
    <row r="27" spans="1:10">
      <c r="A27" s="23"/>
      <c r="B27" s="238"/>
      <c r="C27" s="66"/>
      <c r="D27" s="242"/>
      <c r="E27" s="77" t="s">
        <v>2598</v>
      </c>
      <c r="F27" s="46">
        <f>F22*2.2</f>
        <v>1.0780000000000001</v>
      </c>
      <c r="G27" s="62"/>
      <c r="H27" s="577"/>
    </row>
    <row r="28" spans="1:10">
      <c r="A28" s="23"/>
      <c r="B28" s="238"/>
      <c r="C28" s="66"/>
      <c r="D28" s="242"/>
      <c r="E28" s="65"/>
      <c r="F28" s="46"/>
      <c r="G28" s="62"/>
      <c r="H28" s="577"/>
    </row>
    <row r="29" spans="1:10" s="115" customFormat="1">
      <c r="A29" s="465"/>
      <c r="B29" s="35" t="s">
        <v>72</v>
      </c>
      <c r="C29" s="93"/>
      <c r="D29" s="94"/>
      <c r="E29" s="50" t="s">
        <v>73</v>
      </c>
      <c r="F29" s="264"/>
      <c r="G29" s="40"/>
      <c r="H29" s="357"/>
    </row>
    <row r="30" spans="1:10" s="115" customFormat="1">
      <c r="A30" s="465"/>
      <c r="B30" s="126"/>
      <c r="C30" s="139"/>
      <c r="D30" s="37"/>
      <c r="E30" s="38"/>
      <c r="F30" s="264"/>
      <c r="G30" s="40"/>
      <c r="H30" s="357"/>
    </row>
    <row r="31" spans="1:10">
      <c r="A31" s="34">
        <f>MAX(A$1:A30)+1</f>
        <v>8</v>
      </c>
      <c r="B31" s="327"/>
      <c r="C31" s="36" t="s">
        <v>74</v>
      </c>
      <c r="D31" s="37"/>
      <c r="E31" s="38" t="s">
        <v>75</v>
      </c>
      <c r="F31" s="123"/>
      <c r="G31" s="40" t="s">
        <v>18</v>
      </c>
      <c r="H31" s="143">
        <v>2.88</v>
      </c>
      <c r="J31" s="582"/>
    </row>
    <row r="32" spans="1:10">
      <c r="A32" s="350"/>
      <c r="B32" s="329"/>
      <c r="C32" s="66"/>
      <c r="D32" s="67" t="s">
        <v>76</v>
      </c>
      <c r="E32" s="71" t="s">
        <v>77</v>
      </c>
      <c r="F32" s="46"/>
      <c r="G32" s="62" t="s">
        <v>18</v>
      </c>
      <c r="H32" s="357"/>
    </row>
    <row r="33" spans="1:8">
      <c r="A33" s="350"/>
      <c r="B33" s="329"/>
      <c r="C33" s="66"/>
      <c r="D33" s="67"/>
      <c r="E33" s="467" t="s">
        <v>2599</v>
      </c>
      <c r="F33" s="46">
        <v>2.88</v>
      </c>
      <c r="G33" s="62"/>
      <c r="H33" s="357"/>
    </row>
    <row r="34" spans="1:8">
      <c r="A34" s="350"/>
      <c r="B34" s="329"/>
      <c r="C34" s="66"/>
      <c r="D34" s="67"/>
      <c r="E34" s="345"/>
      <c r="F34" s="46"/>
      <c r="G34" s="62"/>
      <c r="H34" s="357"/>
    </row>
    <row r="35" spans="1:8" s="115" customFormat="1">
      <c r="A35" s="34">
        <f>MAX(A$1:A31)+1</f>
        <v>9</v>
      </c>
      <c r="B35" s="327"/>
      <c r="C35" s="36" t="s">
        <v>158</v>
      </c>
      <c r="D35" s="37"/>
      <c r="E35" s="38" t="s">
        <v>159</v>
      </c>
      <c r="F35" s="123"/>
      <c r="G35" s="40" t="s">
        <v>18</v>
      </c>
      <c r="H35" s="143">
        <v>12</v>
      </c>
    </row>
    <row r="36" spans="1:8">
      <c r="A36" s="320"/>
      <c r="B36" s="80"/>
      <c r="C36" s="66"/>
      <c r="D36" s="67" t="s">
        <v>160</v>
      </c>
      <c r="E36" s="71" t="s">
        <v>161</v>
      </c>
      <c r="F36" s="46"/>
      <c r="G36" s="62" t="s">
        <v>18</v>
      </c>
      <c r="H36" s="486">
        <v>12</v>
      </c>
    </row>
    <row r="37" spans="1:8">
      <c r="A37" s="320"/>
      <c r="B37" s="80"/>
      <c r="C37" s="66"/>
      <c r="D37" s="67"/>
      <c r="E37" s="77" t="s">
        <v>2608</v>
      </c>
      <c r="F37" s="46">
        <v>12</v>
      </c>
      <c r="G37" s="62"/>
      <c r="H37" s="486"/>
    </row>
    <row r="38" spans="1:8">
      <c r="A38" s="320"/>
      <c r="B38" s="80"/>
      <c r="C38" s="66"/>
      <c r="D38" s="67"/>
      <c r="E38" s="284"/>
      <c r="F38" s="46"/>
      <c r="G38" s="62"/>
      <c r="H38" s="486"/>
    </row>
    <row r="39" spans="1:8" s="115" customFormat="1">
      <c r="A39" s="34">
        <f>MAX(A$1:A35)+1</f>
        <v>10</v>
      </c>
      <c r="B39" s="327"/>
      <c r="C39" s="36" t="s">
        <v>58</v>
      </c>
      <c r="D39" s="37"/>
      <c r="E39" s="38" t="s">
        <v>59</v>
      </c>
      <c r="F39" s="123"/>
      <c r="G39" s="40" t="s">
        <v>18</v>
      </c>
      <c r="H39" s="143">
        <v>11.879999999999999</v>
      </c>
    </row>
    <row r="40" spans="1:8">
      <c r="A40" s="468"/>
      <c r="B40" s="469"/>
      <c r="C40" s="66"/>
      <c r="D40" s="67" t="s">
        <v>60</v>
      </c>
      <c r="E40" s="71" t="s">
        <v>61</v>
      </c>
      <c r="F40" s="46"/>
      <c r="G40" s="62" t="s">
        <v>18</v>
      </c>
      <c r="H40" s="357">
        <v>11.879999999999999</v>
      </c>
    </row>
    <row r="41" spans="1:8">
      <c r="A41" s="468"/>
      <c r="B41" s="469"/>
      <c r="C41" s="66"/>
      <c r="D41" s="67"/>
      <c r="E41" s="77" t="s">
        <v>2609</v>
      </c>
      <c r="F41" s="46">
        <f>F58</f>
        <v>11.879999999999999</v>
      </c>
      <c r="G41" s="62"/>
      <c r="H41" s="357"/>
    </row>
    <row r="42" spans="1:8">
      <c r="A42" s="230"/>
      <c r="B42" s="327"/>
      <c r="C42" s="36"/>
      <c r="D42" s="37"/>
      <c r="E42" s="38"/>
      <c r="F42" s="123"/>
      <c r="G42" s="40"/>
      <c r="H42" s="486"/>
    </row>
    <row r="43" spans="1:8">
      <c r="A43" s="34">
        <f>MAX(A$1:A42)+1</f>
        <v>11</v>
      </c>
      <c r="B43" s="327"/>
      <c r="C43" s="36" t="s">
        <v>78</v>
      </c>
      <c r="D43" s="37"/>
      <c r="E43" s="38" t="s">
        <v>79</v>
      </c>
      <c r="F43" s="123"/>
      <c r="G43" s="40" t="s">
        <v>18</v>
      </c>
      <c r="H43" s="143">
        <v>3</v>
      </c>
    </row>
    <row r="44" spans="1:8">
      <c r="A44" s="290"/>
      <c r="B44" s="328"/>
      <c r="C44" s="66"/>
      <c r="D44" s="67" t="s">
        <v>80</v>
      </c>
      <c r="E44" s="71" t="s">
        <v>81</v>
      </c>
      <c r="F44" s="46"/>
      <c r="G44" s="62" t="s">
        <v>18</v>
      </c>
      <c r="H44" s="357">
        <v>3</v>
      </c>
    </row>
    <row r="45" spans="1:8">
      <c r="A45" s="290"/>
      <c r="B45" s="328"/>
      <c r="C45" s="66"/>
      <c r="D45" s="67"/>
      <c r="E45" s="77" t="s">
        <v>2610</v>
      </c>
      <c r="F45" s="46">
        <v>3</v>
      </c>
      <c r="G45" s="62"/>
      <c r="H45" s="357"/>
    </row>
    <row r="46" spans="1:8">
      <c r="A46" s="290"/>
      <c r="B46" s="328"/>
      <c r="C46" s="66"/>
      <c r="D46" s="67"/>
      <c r="E46" s="71"/>
      <c r="F46" s="46"/>
      <c r="G46" s="62"/>
      <c r="H46" s="357"/>
    </row>
    <row r="47" spans="1:8">
      <c r="A47" s="34">
        <f>MAX(A$1:A43)+1</f>
        <v>12</v>
      </c>
      <c r="B47" s="327"/>
      <c r="C47" s="36" t="s">
        <v>472</v>
      </c>
      <c r="D47" s="37"/>
      <c r="E47" s="38" t="s">
        <v>473</v>
      </c>
      <c r="F47" s="123"/>
      <c r="G47" s="40" t="s">
        <v>18</v>
      </c>
      <c r="H47" s="143">
        <v>3</v>
      </c>
    </row>
    <row r="48" spans="1:8">
      <c r="A48" s="290"/>
      <c r="B48" s="328"/>
      <c r="C48" s="66"/>
      <c r="D48" s="67" t="s">
        <v>474</v>
      </c>
      <c r="E48" s="71" t="s">
        <v>475</v>
      </c>
      <c r="F48" s="46"/>
      <c r="G48" s="62" t="s">
        <v>18</v>
      </c>
      <c r="H48" s="357">
        <v>3</v>
      </c>
    </row>
    <row r="49" spans="1:8">
      <c r="A49" s="290"/>
      <c r="B49" s="328"/>
      <c r="C49" s="66"/>
      <c r="D49" s="67"/>
      <c r="E49" s="77" t="s">
        <v>2611</v>
      </c>
      <c r="F49" s="46">
        <v>3</v>
      </c>
      <c r="G49" s="62"/>
      <c r="H49" s="357"/>
    </row>
    <row r="50" spans="1:8">
      <c r="A50" s="290"/>
      <c r="B50" s="328"/>
      <c r="C50" s="66"/>
      <c r="D50" s="67"/>
      <c r="E50" s="467" t="s">
        <v>2602</v>
      </c>
      <c r="F50" s="46"/>
      <c r="G50" s="62"/>
      <c r="H50" s="357"/>
    </row>
    <row r="51" spans="1:8">
      <c r="A51" s="230"/>
      <c r="B51" s="327"/>
      <c r="C51" s="36"/>
      <c r="D51" s="37"/>
      <c r="E51" s="467" t="s">
        <v>728</v>
      </c>
      <c r="F51" s="123"/>
      <c r="G51" s="40"/>
      <c r="H51" s="486"/>
    </row>
    <row r="52" spans="1:8">
      <c r="A52" s="230"/>
      <c r="B52" s="327"/>
      <c r="C52" s="36"/>
      <c r="D52" s="37"/>
      <c r="E52" s="345"/>
      <c r="F52" s="123"/>
      <c r="G52" s="40"/>
      <c r="H52" s="486"/>
    </row>
    <row r="53" spans="1:8">
      <c r="A53" s="34">
        <f>MAX(A$1:A49)+1</f>
        <v>13</v>
      </c>
      <c r="B53" s="43"/>
      <c r="C53" s="36" t="s">
        <v>50</v>
      </c>
      <c r="D53" s="37"/>
      <c r="E53" s="38" t="s">
        <v>51</v>
      </c>
      <c r="F53" s="39"/>
      <c r="G53" s="40" t="s">
        <v>18</v>
      </c>
      <c r="H53" s="143">
        <v>11.879999999999999</v>
      </c>
    </row>
    <row r="54" spans="1:8" ht="25.5">
      <c r="A54" s="230"/>
      <c r="B54" s="73"/>
      <c r="C54" s="66"/>
      <c r="D54" s="67" t="s">
        <v>138</v>
      </c>
      <c r="E54" s="71" t="s">
        <v>139</v>
      </c>
      <c r="F54" s="61"/>
      <c r="G54" s="62" t="s">
        <v>18</v>
      </c>
      <c r="H54" s="118">
        <v>11.879999999999999</v>
      </c>
    </row>
    <row r="55" spans="1:8">
      <c r="A55" s="23"/>
      <c r="B55" s="233"/>
      <c r="C55" s="31"/>
      <c r="D55" s="234"/>
      <c r="E55" s="77" t="s">
        <v>2612</v>
      </c>
      <c r="F55" s="81"/>
      <c r="G55" s="29"/>
      <c r="H55" s="579"/>
    </row>
    <row r="56" spans="1:8">
      <c r="A56" s="23"/>
      <c r="B56" s="233"/>
      <c r="C56" s="31"/>
      <c r="D56" s="234"/>
      <c r="E56" s="77" t="s">
        <v>66</v>
      </c>
      <c r="F56" s="81">
        <f>F33+F37</f>
        <v>14.879999999999999</v>
      </c>
      <c r="G56" s="29"/>
      <c r="H56" s="579"/>
    </row>
    <row r="57" spans="1:8">
      <c r="A57" s="23"/>
      <c r="B57" s="233"/>
      <c r="C57" s="31"/>
      <c r="D57" s="234"/>
      <c r="E57" s="77" t="s">
        <v>82</v>
      </c>
      <c r="F57" s="133">
        <f>-F45</f>
        <v>-3</v>
      </c>
      <c r="G57" s="29"/>
      <c r="H57" s="579"/>
    </row>
    <row r="58" spans="1:8">
      <c r="A58" s="23"/>
      <c r="B58" s="233"/>
      <c r="C58" s="31"/>
      <c r="D58" s="234"/>
      <c r="E58" s="77"/>
      <c r="F58" s="81">
        <f>SUM(F56:F57)</f>
        <v>11.879999999999999</v>
      </c>
      <c r="G58" s="29"/>
      <c r="H58" s="579"/>
    </row>
    <row r="59" spans="1:8">
      <c r="A59" s="23"/>
      <c r="B59" s="233"/>
      <c r="C59" s="31"/>
      <c r="D59" s="234"/>
      <c r="E59" s="33"/>
      <c r="F59" s="28"/>
      <c r="G59" s="29"/>
      <c r="H59" s="579"/>
    </row>
    <row r="60" spans="1:8" ht="25.5">
      <c r="A60" s="290"/>
      <c r="B60" s="35" t="s">
        <v>270</v>
      </c>
      <c r="C60" s="35"/>
      <c r="D60" s="94"/>
      <c r="E60" s="211" t="s">
        <v>271</v>
      </c>
      <c r="F60" s="457"/>
      <c r="G60" s="333"/>
      <c r="H60" s="573"/>
    </row>
    <row r="61" spans="1:8">
      <c r="A61" s="290"/>
      <c r="B61" s="328"/>
      <c r="C61" s="331"/>
      <c r="D61" s="332"/>
      <c r="E61" s="345"/>
      <c r="F61" s="457"/>
      <c r="G61" s="333"/>
      <c r="H61" s="573"/>
    </row>
    <row r="62" spans="1:8" ht="25.5">
      <c r="A62" s="34">
        <f>MAX(A$1:A61)+1</f>
        <v>14</v>
      </c>
      <c r="B62" s="328"/>
      <c r="C62" s="36" t="s">
        <v>546</v>
      </c>
      <c r="D62" s="37"/>
      <c r="E62" s="38" t="s">
        <v>547</v>
      </c>
      <c r="F62" s="39"/>
      <c r="G62" s="40" t="s">
        <v>18</v>
      </c>
      <c r="H62" s="143">
        <v>4.2</v>
      </c>
    </row>
    <row r="63" spans="1:8" ht="25.5">
      <c r="A63" s="290"/>
      <c r="B63" s="328"/>
      <c r="C63" s="117"/>
      <c r="D63" s="191" t="s">
        <v>548</v>
      </c>
      <c r="E63" s="193" t="s">
        <v>2415</v>
      </c>
      <c r="F63" s="192"/>
      <c r="G63" s="62" t="s">
        <v>18</v>
      </c>
      <c r="H63" s="583">
        <v>4.2</v>
      </c>
    </row>
    <row r="64" spans="1:8">
      <c r="A64" s="290"/>
      <c r="B64" s="328"/>
      <c r="C64" s="117"/>
      <c r="D64" s="37"/>
      <c r="E64" s="467" t="s">
        <v>2603</v>
      </c>
      <c r="F64" s="457">
        <v>4.2</v>
      </c>
      <c r="G64" s="40"/>
      <c r="H64" s="578"/>
    </row>
    <row r="65" spans="1:8">
      <c r="A65" s="230"/>
      <c r="B65" s="329"/>
      <c r="C65" s="66"/>
      <c r="D65" s="67"/>
      <c r="E65" s="284"/>
      <c r="F65" s="46"/>
      <c r="G65" s="62"/>
      <c r="H65" s="583"/>
    </row>
    <row r="66" spans="1:8" s="115" customFormat="1" ht="15.75">
      <c r="A66" s="290"/>
      <c r="B66" s="35" t="s">
        <v>225</v>
      </c>
      <c r="C66" s="35"/>
      <c r="D66" s="94"/>
      <c r="E66" s="50" t="s">
        <v>226</v>
      </c>
      <c r="F66" s="291"/>
      <c r="G66" s="247"/>
      <c r="H66" s="573"/>
    </row>
    <row r="67" spans="1:8">
      <c r="A67" s="290"/>
      <c r="B67" s="328"/>
      <c r="C67" s="331"/>
      <c r="D67" s="332"/>
      <c r="E67" s="226"/>
      <c r="F67" s="457"/>
      <c r="G67" s="333"/>
      <c r="H67" s="573"/>
    </row>
    <row r="68" spans="1:8">
      <c r="A68" s="34">
        <f>MAX(A$1:A67)+1</f>
        <v>15</v>
      </c>
      <c r="B68" s="244"/>
      <c r="C68" s="195">
        <v>91080101</v>
      </c>
      <c r="D68" s="196"/>
      <c r="E68" s="38" t="s">
        <v>227</v>
      </c>
      <c r="F68" s="123"/>
      <c r="G68" s="40" t="s">
        <v>36</v>
      </c>
      <c r="H68" s="143">
        <v>22</v>
      </c>
    </row>
    <row r="69" spans="1:8">
      <c r="A69" s="290"/>
      <c r="B69" s="245"/>
      <c r="C69" s="198"/>
      <c r="D69" s="199">
        <v>9108010101</v>
      </c>
      <c r="E69" s="71" t="s">
        <v>730</v>
      </c>
      <c r="F69" s="46"/>
      <c r="G69" s="62" t="s">
        <v>36</v>
      </c>
      <c r="H69" s="593">
        <v>20</v>
      </c>
    </row>
    <row r="70" spans="1:8">
      <c r="A70" s="290"/>
      <c r="B70" s="328"/>
      <c r="C70" s="331"/>
      <c r="D70" s="332"/>
      <c r="E70" s="330" t="s">
        <v>2613</v>
      </c>
      <c r="F70" s="454">
        <v>20</v>
      </c>
      <c r="G70" s="333"/>
      <c r="H70" s="573"/>
    </row>
    <row r="71" spans="1:8">
      <c r="A71" s="230"/>
      <c r="B71" s="329"/>
      <c r="C71" s="198"/>
      <c r="D71" s="199">
        <v>9108010108</v>
      </c>
      <c r="E71" s="71" t="s">
        <v>694</v>
      </c>
      <c r="F71" s="46"/>
      <c r="G71" s="62" t="s">
        <v>36</v>
      </c>
      <c r="H71" s="486">
        <v>2</v>
      </c>
    </row>
    <row r="72" spans="1:8">
      <c r="A72" s="290"/>
      <c r="B72" s="328"/>
      <c r="C72" s="331"/>
      <c r="D72" s="332"/>
      <c r="E72" s="330" t="s">
        <v>2613</v>
      </c>
      <c r="F72" s="454">
        <v>2</v>
      </c>
      <c r="G72" s="333"/>
      <c r="H72" s="1216"/>
    </row>
    <row r="73" spans="1:8">
      <c r="A73" s="290"/>
      <c r="B73" s="328"/>
      <c r="C73" s="331"/>
      <c r="D73" s="332"/>
      <c r="E73" s="330"/>
      <c r="F73" s="454"/>
      <c r="G73" s="333"/>
      <c r="H73" s="1216"/>
    </row>
    <row r="74" spans="1:8" s="410" customFormat="1" ht="12.75">
      <c r="A74" s="34">
        <f>MAX(A$1:A73)+1</f>
        <v>16</v>
      </c>
      <c r="B74" s="335"/>
      <c r="C74" s="195">
        <v>91080118</v>
      </c>
      <c r="D74" s="196"/>
      <c r="E74" s="38" t="s">
        <v>558</v>
      </c>
      <c r="F74" s="444"/>
      <c r="G74" s="336" t="s">
        <v>36</v>
      </c>
      <c r="H74" s="143">
        <v>2</v>
      </c>
    </row>
    <row r="75" spans="1:8" s="410" customFormat="1" ht="12.75">
      <c r="A75" s="293"/>
      <c r="B75" s="335"/>
      <c r="C75" s="198"/>
      <c r="D75" s="199">
        <v>9108011801</v>
      </c>
      <c r="E75" s="71" t="s">
        <v>559</v>
      </c>
      <c r="F75" s="445"/>
      <c r="G75" s="338" t="s">
        <v>36</v>
      </c>
      <c r="H75" s="593">
        <v>2</v>
      </c>
    </row>
    <row r="76" spans="1:8" s="410" customFormat="1" ht="12.75">
      <c r="A76" s="293"/>
      <c r="B76" s="340"/>
      <c r="C76" s="341"/>
      <c r="D76" s="342"/>
      <c r="E76" s="470" t="s">
        <v>711</v>
      </c>
      <c r="F76" s="451">
        <v>2</v>
      </c>
      <c r="G76" s="338"/>
      <c r="H76" s="584"/>
    </row>
    <row r="77" spans="1:8" s="410" customFormat="1" ht="12.75">
      <c r="A77" s="293"/>
      <c r="B77" s="335"/>
      <c r="C77" s="455"/>
      <c r="D77" s="342"/>
      <c r="E77" s="305"/>
      <c r="F77" s="445"/>
      <c r="G77" s="338"/>
      <c r="H77" s="584"/>
    </row>
    <row r="78" spans="1:8">
      <c r="A78" s="34">
        <f>MAX(A$1:A77)+1</f>
        <v>17</v>
      </c>
      <c r="B78" s="244"/>
      <c r="C78" s="195">
        <v>91090101</v>
      </c>
      <c r="D78" s="196"/>
      <c r="E78" s="38" t="s">
        <v>667</v>
      </c>
      <c r="F78" s="123"/>
      <c r="G78" s="40" t="s">
        <v>36</v>
      </c>
      <c r="H78" s="143">
        <v>10</v>
      </c>
    </row>
    <row r="79" spans="1:8">
      <c r="A79" s="290"/>
      <c r="B79" s="245"/>
      <c r="C79" s="198"/>
      <c r="D79" s="199">
        <v>9109010101</v>
      </c>
      <c r="E79" s="71" t="s">
        <v>699</v>
      </c>
      <c r="F79" s="46"/>
      <c r="G79" s="62" t="s">
        <v>36</v>
      </c>
      <c r="H79" s="357">
        <v>10</v>
      </c>
    </row>
    <row r="80" spans="1:8">
      <c r="A80" s="290"/>
      <c r="B80" s="328"/>
      <c r="C80" s="331"/>
      <c r="D80" s="332"/>
      <c r="E80" s="467" t="s">
        <v>2614</v>
      </c>
      <c r="F80" s="454">
        <v>10</v>
      </c>
      <c r="G80" s="333"/>
      <c r="H80" s="573"/>
    </row>
    <row r="81" spans="1:8">
      <c r="A81" s="290"/>
      <c r="B81" s="328"/>
      <c r="C81" s="331"/>
      <c r="D81" s="332"/>
      <c r="E81" s="226"/>
      <c r="F81" s="454"/>
      <c r="G81" s="333"/>
      <c r="H81" s="573"/>
    </row>
    <row r="82" spans="1:8" ht="25.5">
      <c r="A82" s="34">
        <f>MAX(A$1:A81)+1</f>
        <v>18</v>
      </c>
      <c r="B82" s="244"/>
      <c r="C82" s="195">
        <v>91100102</v>
      </c>
      <c r="D82" s="196"/>
      <c r="E82" s="38" t="s">
        <v>616</v>
      </c>
      <c r="F82" s="123"/>
      <c r="G82" s="40" t="s">
        <v>33</v>
      </c>
      <c r="H82" s="143">
        <v>2</v>
      </c>
    </row>
    <row r="83" spans="1:8" ht="25.5">
      <c r="A83" s="290"/>
      <c r="B83" s="245"/>
      <c r="C83" s="198"/>
      <c r="D83" s="199">
        <v>9110010202</v>
      </c>
      <c r="E83" s="71" t="s">
        <v>617</v>
      </c>
      <c r="F83" s="46"/>
      <c r="G83" s="62" t="s">
        <v>33</v>
      </c>
      <c r="H83" s="357">
        <v>2</v>
      </c>
    </row>
    <row r="84" spans="1:8">
      <c r="A84" s="290"/>
      <c r="B84" s="328"/>
      <c r="C84" s="331"/>
      <c r="D84" s="332"/>
      <c r="E84" s="467" t="s">
        <v>737</v>
      </c>
      <c r="F84" s="457">
        <v>2</v>
      </c>
      <c r="G84" s="333"/>
      <c r="H84" s="573"/>
    </row>
    <row r="85" spans="1:8">
      <c r="A85" s="290"/>
      <c r="B85" s="328"/>
      <c r="C85" s="331"/>
      <c r="D85" s="332"/>
      <c r="E85" s="345"/>
      <c r="F85" s="457"/>
      <c r="G85" s="333"/>
      <c r="H85" s="573"/>
    </row>
    <row r="86" spans="1:8">
      <c r="A86" s="34">
        <f>MAX(A$1:A85)+1</f>
        <v>19</v>
      </c>
      <c r="B86" s="244"/>
      <c r="C86" s="195">
        <v>91190103</v>
      </c>
      <c r="D86" s="196"/>
      <c r="E86" s="38" t="s">
        <v>691</v>
      </c>
      <c r="F86" s="123"/>
      <c r="G86" s="40" t="s">
        <v>33</v>
      </c>
      <c r="H86" s="143">
        <v>1</v>
      </c>
    </row>
    <row r="87" spans="1:8" ht="25.5">
      <c r="A87" s="290"/>
      <c r="B87" s="245"/>
      <c r="C87" s="198"/>
      <c r="D87" s="199">
        <v>9119010301</v>
      </c>
      <c r="E87" s="71" t="s">
        <v>692</v>
      </c>
      <c r="F87" s="46"/>
      <c r="G87" s="62" t="s">
        <v>33</v>
      </c>
      <c r="H87" s="357">
        <v>1</v>
      </c>
    </row>
    <row r="88" spans="1:8">
      <c r="A88" s="290"/>
      <c r="B88" s="328"/>
      <c r="C88" s="331"/>
      <c r="D88" s="332"/>
      <c r="E88" s="330" t="s">
        <v>2605</v>
      </c>
      <c r="F88" s="457">
        <v>1</v>
      </c>
      <c r="G88" s="333"/>
      <c r="H88" s="573"/>
    </row>
    <row r="89" spans="1:8">
      <c r="A89" s="290"/>
      <c r="B89" s="328"/>
      <c r="C89" s="331"/>
      <c r="D89" s="332"/>
      <c r="E89" s="345"/>
      <c r="F89" s="457"/>
      <c r="G89" s="333"/>
      <c r="H89" s="573"/>
    </row>
    <row r="90" spans="1:8" s="450" customFormat="1" ht="25.5">
      <c r="A90" s="520"/>
      <c r="B90" s="35" t="s">
        <v>480</v>
      </c>
      <c r="C90" s="35"/>
      <c r="D90" s="94"/>
      <c r="E90" s="50" t="s">
        <v>481</v>
      </c>
      <c r="F90" s="515"/>
      <c r="G90" s="516"/>
      <c r="H90" s="573"/>
    </row>
    <row r="91" spans="1:8">
      <c r="A91" s="290"/>
      <c r="B91" s="328"/>
      <c r="C91" s="331"/>
      <c r="D91" s="332"/>
      <c r="E91" s="345"/>
      <c r="F91" s="454"/>
      <c r="G91" s="333"/>
      <c r="H91" s="573"/>
    </row>
    <row r="92" spans="1:8" s="115" customFormat="1" ht="25.5">
      <c r="A92" s="334">
        <f>MAX(A$1:A91)+1</f>
        <v>20</v>
      </c>
      <c r="B92" s="43"/>
      <c r="C92" s="195">
        <v>91220702</v>
      </c>
      <c r="D92" s="196"/>
      <c r="E92" s="38" t="s">
        <v>648</v>
      </c>
      <c r="F92" s="39"/>
      <c r="G92" s="40" t="s">
        <v>33</v>
      </c>
      <c r="H92" s="143">
        <v>6</v>
      </c>
    </row>
    <row r="93" spans="1:8" s="115" customFormat="1" ht="25.5">
      <c r="A93" s="230"/>
      <c r="B93" s="43"/>
      <c r="C93" s="195"/>
      <c r="D93" s="199">
        <v>9122070201</v>
      </c>
      <c r="E93" s="71" t="s">
        <v>649</v>
      </c>
      <c r="F93" s="61"/>
      <c r="G93" s="62" t="s">
        <v>33</v>
      </c>
      <c r="H93" s="357">
        <v>6</v>
      </c>
    </row>
    <row r="94" spans="1:8" s="115" customFormat="1">
      <c r="A94" s="230"/>
      <c r="B94" s="43"/>
      <c r="C94" s="195"/>
      <c r="D94" s="196"/>
      <c r="E94" s="467" t="s">
        <v>650</v>
      </c>
      <c r="F94" s="457">
        <v>4</v>
      </c>
      <c r="G94" s="40"/>
      <c r="H94" s="487"/>
    </row>
    <row r="95" spans="1:8" s="115" customFormat="1">
      <c r="A95" s="230"/>
      <c r="B95" s="43"/>
      <c r="C95" s="195"/>
      <c r="D95" s="196"/>
      <c r="E95" s="467" t="s">
        <v>733</v>
      </c>
      <c r="F95" s="458">
        <v>2</v>
      </c>
      <c r="G95" s="40"/>
      <c r="H95" s="487"/>
    </row>
    <row r="96" spans="1:8" s="115" customFormat="1">
      <c r="A96" s="230"/>
      <c r="B96" s="43"/>
      <c r="C96" s="195"/>
      <c r="D96" s="196"/>
      <c r="E96" s="345"/>
      <c r="F96" s="454">
        <f>SUM(F94:F95)</f>
        <v>6</v>
      </c>
      <c r="G96" s="40"/>
      <c r="H96" s="487"/>
    </row>
    <row r="97" spans="1:8" s="115" customFormat="1">
      <c r="A97" s="230"/>
      <c r="B97" s="43"/>
      <c r="C97" s="195"/>
      <c r="D97" s="196"/>
      <c r="E97" s="38"/>
      <c r="F97" s="39"/>
      <c r="G97" s="40"/>
      <c r="H97" s="487"/>
    </row>
    <row r="98" spans="1:8" s="115" customFormat="1" ht="25.5">
      <c r="A98" s="334">
        <f>MAX(A$1:A97)+1</f>
        <v>21</v>
      </c>
      <c r="B98" s="328"/>
      <c r="C98" s="195">
        <v>91221001</v>
      </c>
      <c r="D98" s="196"/>
      <c r="E98" s="38" t="s">
        <v>619</v>
      </c>
      <c r="F98" s="123"/>
      <c r="G98" s="40" t="s">
        <v>36</v>
      </c>
      <c r="H98" s="143">
        <v>34</v>
      </c>
    </row>
    <row r="99" spans="1:8" s="115" customFormat="1" ht="25.5">
      <c r="A99" s="290"/>
      <c r="B99" s="328"/>
      <c r="C99" s="198"/>
      <c r="D99" s="199">
        <v>9122100101</v>
      </c>
      <c r="E99" s="71" t="s">
        <v>651</v>
      </c>
      <c r="F99" s="46"/>
      <c r="G99" s="62" t="s">
        <v>36</v>
      </c>
      <c r="H99" s="357">
        <v>4</v>
      </c>
    </row>
    <row r="100" spans="1:8" s="115" customFormat="1">
      <c r="A100" s="290"/>
      <c r="B100" s="328"/>
      <c r="C100" s="331"/>
      <c r="D100" s="332"/>
      <c r="E100" s="467" t="s">
        <v>707</v>
      </c>
      <c r="F100" s="457">
        <v>4</v>
      </c>
      <c r="G100" s="333"/>
      <c r="H100" s="573"/>
    </row>
    <row r="101" spans="1:8" s="115" customFormat="1" ht="25.5">
      <c r="A101" s="290"/>
      <c r="B101" s="328"/>
      <c r="C101" s="198"/>
      <c r="D101" s="199">
        <v>9122100103</v>
      </c>
      <c r="E101" s="71" t="s">
        <v>620</v>
      </c>
      <c r="F101" s="46"/>
      <c r="G101" s="62" t="s">
        <v>36</v>
      </c>
      <c r="H101" s="357">
        <v>30</v>
      </c>
    </row>
    <row r="102" spans="1:8" s="115" customFormat="1">
      <c r="A102" s="290"/>
      <c r="B102" s="328"/>
      <c r="C102" s="331"/>
      <c r="D102" s="332"/>
      <c r="E102" s="467" t="s">
        <v>734</v>
      </c>
      <c r="F102" s="457">
        <v>30</v>
      </c>
      <c r="G102" s="333"/>
      <c r="H102" s="573"/>
    </row>
    <row r="103" spans="1:8" s="115" customFormat="1">
      <c r="A103" s="290"/>
      <c r="B103" s="328"/>
      <c r="C103" s="331"/>
      <c r="D103" s="332"/>
      <c r="E103" s="467"/>
      <c r="F103" s="454"/>
      <c r="G103" s="333"/>
      <c r="H103" s="573"/>
    </row>
    <row r="104" spans="1:8" ht="15.75" thickBot="1">
      <c r="A104" s="471"/>
      <c r="B104" s="472"/>
      <c r="C104" s="473"/>
      <c r="D104" s="474"/>
      <c r="E104" s="475"/>
      <c r="F104" s="476"/>
      <c r="G104" s="477"/>
      <c r="H104" s="580"/>
    </row>
    <row r="105" spans="1:8">
      <c r="A105" s="478"/>
      <c r="B105" s="479"/>
      <c r="C105" s="331"/>
      <c r="D105" s="480"/>
      <c r="E105" s="226"/>
      <c r="F105" s="454"/>
      <c r="G105" s="481"/>
      <c r="H105" s="581"/>
    </row>
  </sheetData>
  <sheetProtection algorithmName="SHA-512" hashValue="6ToXoiboq8l4mJcQTf9hD7s2WUZvHKD+HATLoFEO5pxMPBY5Tss366cheYjwN2bH22d46MMuXdAoCjB0Yp+8RQ==" saltValue="Lq8Y0YscR1u7ETm3RCLYu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4A17B-BA2A-421F-9935-53D9B12F5471}">
  <sheetPr codeName="Hárok34"/>
  <dimension ref="A1:H157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4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2616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2111</v>
      </c>
      <c r="G2" s="1045"/>
      <c r="H2" s="1046"/>
    </row>
    <row r="3" spans="1:8" ht="12.75" customHeight="1">
      <c r="A3" s="1353" t="s">
        <v>3</v>
      </c>
      <c r="B3" s="1354"/>
      <c r="C3" s="1354"/>
      <c r="D3" s="1047"/>
      <c r="E3" s="1333" t="s">
        <v>4</v>
      </c>
      <c r="F3" s="1334"/>
      <c r="G3" s="1359" t="s">
        <v>5</v>
      </c>
      <c r="H3" s="1361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35"/>
      <c r="F4" s="1336"/>
      <c r="G4" s="1360"/>
      <c r="H4" s="1362"/>
    </row>
    <row r="5" spans="1:8" ht="13.5" customHeight="1">
      <c r="A5" s="1220"/>
      <c r="B5" s="1221"/>
      <c r="C5" s="1221"/>
      <c r="D5" s="1221"/>
      <c r="E5" s="1041"/>
      <c r="F5" s="1041"/>
      <c r="G5" s="1137"/>
      <c r="H5" s="1222"/>
    </row>
    <row r="6" spans="1:8" ht="13.5" customHeight="1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3.5" customHeight="1">
      <c r="A7" s="463"/>
      <c r="B7" s="464"/>
      <c r="C7" s="348"/>
      <c r="D7" s="348"/>
      <c r="E7" s="349"/>
      <c r="F7" s="347"/>
      <c r="G7" s="348"/>
      <c r="H7" s="506"/>
    </row>
    <row r="8" spans="1:8" ht="13.5" customHeight="1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507">
        <v>341.32</v>
      </c>
    </row>
    <row r="9" spans="1:8" ht="13.5" customHeight="1">
      <c r="A9" s="34"/>
      <c r="B9" s="464"/>
      <c r="C9" s="36"/>
      <c r="D9" s="37"/>
      <c r="E9" s="38"/>
      <c r="F9" s="46">
        <f>F28</f>
        <v>341.32</v>
      </c>
      <c r="G9" s="40"/>
      <c r="H9" s="506"/>
    </row>
    <row r="10" spans="1:8" ht="13.5" customHeight="1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 ht="12.75" customHeight="1">
      <c r="A12" s="1057"/>
      <c r="B12" s="1058"/>
      <c r="C12" s="1059"/>
      <c r="D12" s="1059"/>
      <c r="E12" s="1060"/>
      <c r="F12" s="1179"/>
      <c r="G12" s="1062"/>
      <c r="H12" s="531"/>
    </row>
    <row r="13" spans="1:8" ht="12.75" customHeight="1">
      <c r="A13" s="34">
        <f>MAX(A$1:A11)+1</f>
        <v>2</v>
      </c>
      <c r="B13" s="1066"/>
      <c r="C13" s="956" t="s">
        <v>74</v>
      </c>
      <c r="D13" s="599"/>
      <c r="E13" s="496" t="s">
        <v>75</v>
      </c>
      <c r="F13" s="779"/>
      <c r="G13" s="780" t="s">
        <v>18</v>
      </c>
      <c r="H13" s="540">
        <v>183.38</v>
      </c>
    </row>
    <row r="14" spans="1:8" ht="12.75" customHeight="1">
      <c r="A14" s="1063"/>
      <c r="B14" s="1064"/>
      <c r="C14" s="957"/>
      <c r="D14" s="300" t="s">
        <v>76</v>
      </c>
      <c r="E14" s="297" t="s">
        <v>77</v>
      </c>
      <c r="F14" s="958"/>
      <c r="G14" s="959" t="s">
        <v>18</v>
      </c>
      <c r="H14" s="541">
        <v>183.38</v>
      </c>
    </row>
    <row r="15" spans="1:8" ht="12.75" customHeight="1">
      <c r="A15" s="1063"/>
      <c r="B15" s="1064"/>
      <c r="C15" s="957"/>
      <c r="D15" s="300"/>
      <c r="E15" s="467" t="s">
        <v>2617</v>
      </c>
      <c r="F15" s="229">
        <v>3.375</v>
      </c>
      <c r="G15" s="959"/>
      <c r="H15" s="541"/>
    </row>
    <row r="16" spans="1:8" ht="12.75" customHeight="1">
      <c r="A16" s="1063"/>
      <c r="B16" s="1064"/>
      <c r="C16" s="957"/>
      <c r="D16" s="300"/>
      <c r="E16" s="467" t="s">
        <v>2618</v>
      </c>
      <c r="F16" s="260">
        <v>180</v>
      </c>
      <c r="G16" s="959"/>
      <c r="H16" s="541"/>
    </row>
    <row r="17" spans="1:8" ht="12.75" customHeight="1">
      <c r="A17" s="1063"/>
      <c r="B17" s="1064"/>
      <c r="C17" s="957"/>
      <c r="D17" s="300"/>
      <c r="E17" s="467"/>
      <c r="F17" s="229">
        <f>SUM(F15:F16)</f>
        <v>183.375</v>
      </c>
      <c r="G17" s="959"/>
      <c r="H17" s="541"/>
    </row>
    <row r="18" spans="1:8" ht="12.75" customHeight="1">
      <c r="A18" s="1063"/>
      <c r="B18" s="1064"/>
      <c r="C18" s="957"/>
      <c r="D18" s="300"/>
      <c r="E18" s="479"/>
      <c r="F18" s="958"/>
      <c r="G18" s="959"/>
      <c r="H18" s="541"/>
    </row>
    <row r="19" spans="1:8" ht="12.75" customHeight="1">
      <c r="A19" s="34">
        <f>MAX(A$1:A14)+1</f>
        <v>3</v>
      </c>
      <c r="B19" s="1066"/>
      <c r="C19" s="956" t="s">
        <v>158</v>
      </c>
      <c r="D19" s="599"/>
      <c r="E19" s="496" t="s">
        <v>159</v>
      </c>
      <c r="F19" s="779"/>
      <c r="G19" s="780" t="s">
        <v>18</v>
      </c>
      <c r="H19" s="540">
        <v>1411.67</v>
      </c>
    </row>
    <row r="20" spans="1:8" ht="12.75" customHeight="1">
      <c r="A20" s="963"/>
      <c r="B20" s="600"/>
      <c r="C20" s="957"/>
      <c r="D20" s="300" t="s">
        <v>160</v>
      </c>
      <c r="E20" s="297" t="s">
        <v>161</v>
      </c>
      <c r="F20" s="958"/>
      <c r="G20" s="959" t="s">
        <v>18</v>
      </c>
      <c r="H20" s="566">
        <v>1411.67</v>
      </c>
    </row>
    <row r="21" spans="1:8" ht="12.75" customHeight="1">
      <c r="A21" s="963"/>
      <c r="B21" s="600"/>
      <c r="C21" s="957"/>
      <c r="D21" s="300"/>
      <c r="E21" s="783" t="s">
        <v>2619</v>
      </c>
      <c r="F21" s="104">
        <v>1265.67</v>
      </c>
      <c r="G21" s="959"/>
      <c r="H21" s="542"/>
    </row>
    <row r="22" spans="1:8" ht="12.75" customHeight="1">
      <c r="A22" s="963"/>
      <c r="B22" s="600"/>
      <c r="C22" s="957"/>
      <c r="D22" s="300"/>
      <c r="E22" s="783" t="s">
        <v>2620</v>
      </c>
      <c r="F22" s="215">
        <v>146</v>
      </c>
      <c r="G22" s="959"/>
      <c r="H22" s="542"/>
    </row>
    <row r="23" spans="1:8" ht="12.75" customHeight="1">
      <c r="A23" s="963"/>
      <c r="B23" s="600"/>
      <c r="C23" s="957"/>
      <c r="D23" s="300"/>
      <c r="E23" s="783"/>
      <c r="F23" s="104">
        <f>SUM(F21:F22)</f>
        <v>1411.67</v>
      </c>
      <c r="G23" s="959"/>
      <c r="H23" s="542"/>
    </row>
    <row r="24" spans="1:8" ht="50.25" customHeight="1">
      <c r="A24" s="963"/>
      <c r="B24" s="600"/>
      <c r="C24" s="957"/>
      <c r="D24" s="300"/>
      <c r="E24" s="494" t="s">
        <v>2443</v>
      </c>
      <c r="F24" s="229"/>
      <c r="G24" s="959"/>
      <c r="H24" s="542"/>
    </row>
    <row r="25" spans="1:8">
      <c r="A25" s="963"/>
      <c r="B25" s="600"/>
      <c r="C25" s="957"/>
      <c r="D25" s="300"/>
      <c r="E25" s="494"/>
      <c r="F25" s="229"/>
      <c r="G25" s="959"/>
      <c r="H25" s="542"/>
    </row>
    <row r="26" spans="1:8">
      <c r="A26" s="334">
        <f>MAX(A$1:A24)+1</f>
        <v>4</v>
      </c>
      <c r="B26" s="960"/>
      <c r="C26" s="956" t="s">
        <v>58</v>
      </c>
      <c r="D26" s="599"/>
      <c r="E26" s="496" t="s">
        <v>59</v>
      </c>
      <c r="F26" s="482"/>
      <c r="G26" s="146" t="s">
        <v>18</v>
      </c>
      <c r="H26" s="543">
        <v>341.32</v>
      </c>
    </row>
    <row r="27" spans="1:8">
      <c r="A27" s="961"/>
      <c r="B27" s="962"/>
      <c r="C27" s="957"/>
      <c r="D27" s="300" t="s">
        <v>60</v>
      </c>
      <c r="E27" s="297" t="s">
        <v>61</v>
      </c>
      <c r="F27" s="301"/>
      <c r="G27" s="218" t="s">
        <v>18</v>
      </c>
      <c r="H27" s="542">
        <v>341.32</v>
      </c>
    </row>
    <row r="28" spans="1:8">
      <c r="A28" s="963"/>
      <c r="B28" s="600"/>
      <c r="C28" s="957"/>
      <c r="D28" s="300"/>
      <c r="E28" s="330" t="s">
        <v>2389</v>
      </c>
      <c r="F28" s="229">
        <v>341.32</v>
      </c>
      <c r="G28" s="959"/>
      <c r="H28" s="542"/>
    </row>
    <row r="29" spans="1:8">
      <c r="A29" s="963"/>
      <c r="B29" s="600"/>
      <c r="C29" s="957"/>
      <c r="D29" s="300"/>
      <c r="E29" s="494"/>
      <c r="F29" s="229"/>
      <c r="G29" s="959"/>
      <c r="H29" s="542"/>
    </row>
    <row r="30" spans="1:8" ht="12.75" customHeight="1">
      <c r="A30" s="334">
        <f>MAX(A$1:A28)+1</f>
        <v>5</v>
      </c>
      <c r="B30" s="1068"/>
      <c r="C30" s="846" t="s">
        <v>78</v>
      </c>
      <c r="D30" s="953"/>
      <c r="E30" s="1069" t="s">
        <v>79</v>
      </c>
      <c r="F30" s="775"/>
      <c r="G30" s="847" t="s">
        <v>18</v>
      </c>
      <c r="H30" s="966">
        <v>1253.73</v>
      </c>
    </row>
    <row r="31" spans="1:8" ht="12.75" customHeight="1">
      <c r="A31" s="334"/>
      <c r="B31" s="836"/>
      <c r="C31" s="834"/>
      <c r="D31" s="773" t="s">
        <v>80</v>
      </c>
      <c r="E31" s="1070" t="s">
        <v>81</v>
      </c>
      <c r="F31" s="1071"/>
      <c r="G31" s="776" t="s">
        <v>18</v>
      </c>
      <c r="H31" s="968">
        <v>1253.73</v>
      </c>
    </row>
    <row r="32" spans="1:8" ht="12.75" customHeight="1">
      <c r="A32" s="835"/>
      <c r="B32" s="836"/>
      <c r="C32" s="834"/>
      <c r="D32" s="773"/>
      <c r="E32" s="1072" t="s">
        <v>2621</v>
      </c>
      <c r="F32" s="990">
        <v>964.32</v>
      </c>
      <c r="G32" s="776"/>
      <c r="H32" s="535"/>
    </row>
    <row r="33" spans="1:8" ht="12.75" customHeight="1">
      <c r="A33" s="835"/>
      <c r="B33" s="836"/>
      <c r="C33" s="834"/>
      <c r="D33" s="773"/>
      <c r="E33" s="1072" t="s">
        <v>2622</v>
      </c>
      <c r="F33" s="990">
        <v>109.41</v>
      </c>
      <c r="G33" s="776"/>
      <c r="H33" s="535"/>
    </row>
    <row r="34" spans="1:8" ht="12.75" customHeight="1">
      <c r="A34" s="835"/>
      <c r="B34" s="836"/>
      <c r="C34" s="834"/>
      <c r="D34" s="773"/>
      <c r="E34" s="1072" t="s">
        <v>2618</v>
      </c>
      <c r="F34" s="990">
        <v>180</v>
      </c>
      <c r="G34" s="776"/>
      <c r="H34" s="535"/>
    </row>
    <row r="35" spans="1:8" ht="12.75" customHeight="1">
      <c r="A35" s="835"/>
      <c r="B35" s="836"/>
      <c r="C35" s="834"/>
      <c r="D35" s="773"/>
      <c r="E35" s="467" t="s">
        <v>2623</v>
      </c>
      <c r="F35" s="1147" t="s">
        <v>2470</v>
      </c>
      <c r="G35" s="776"/>
      <c r="H35" s="535"/>
    </row>
    <row r="36" spans="1:8" ht="12.75" customHeight="1">
      <c r="A36" s="835"/>
      <c r="B36" s="836"/>
      <c r="C36" s="834"/>
      <c r="D36" s="773"/>
      <c r="E36" s="467"/>
      <c r="F36" s="104">
        <f>SUM(F32:F35)</f>
        <v>1253.73</v>
      </c>
      <c r="G36" s="776"/>
      <c r="H36" s="535"/>
    </row>
    <row r="37" spans="1:8" ht="41.25" customHeight="1">
      <c r="A37" s="835"/>
      <c r="B37" s="836"/>
      <c r="C37" s="834"/>
      <c r="D37" s="773"/>
      <c r="E37" s="774" t="s">
        <v>2624</v>
      </c>
      <c r="F37" s="775"/>
      <c r="G37" s="776"/>
      <c r="H37" s="535"/>
    </row>
    <row r="38" spans="1:8" ht="12.75" customHeight="1">
      <c r="A38" s="1063"/>
      <c r="B38" s="1064"/>
      <c r="C38" s="957"/>
      <c r="D38" s="300"/>
      <c r="E38" s="479"/>
      <c r="F38" s="958"/>
      <c r="G38" s="959"/>
      <c r="H38" s="541"/>
    </row>
    <row r="39" spans="1:8" ht="12.75" customHeight="1">
      <c r="A39" s="334">
        <f>MAX(A$1:A37)+1</f>
        <v>6</v>
      </c>
      <c r="B39" s="429"/>
      <c r="C39" s="36" t="s">
        <v>472</v>
      </c>
      <c r="D39" s="37"/>
      <c r="E39" s="38" t="s">
        <v>473</v>
      </c>
      <c r="F39" s="39"/>
      <c r="G39" s="40" t="s">
        <v>18</v>
      </c>
      <c r="H39" s="544">
        <v>337.82</v>
      </c>
    </row>
    <row r="40" spans="1:8" ht="12.75" customHeight="1">
      <c r="A40" s="438"/>
      <c r="B40" s="429"/>
      <c r="C40" s="430"/>
      <c r="D40" s="67" t="s">
        <v>474</v>
      </c>
      <c r="E40" s="71" t="s">
        <v>475</v>
      </c>
      <c r="F40" s="61"/>
      <c r="G40" s="62" t="s">
        <v>18</v>
      </c>
      <c r="H40" s="545">
        <v>337.82</v>
      </c>
    </row>
    <row r="41" spans="1:8" ht="12.75" customHeight="1">
      <c r="A41" s="438"/>
      <c r="B41" s="429"/>
      <c r="C41" s="430"/>
      <c r="D41" s="431"/>
      <c r="E41" s="330" t="s">
        <v>2544</v>
      </c>
      <c r="F41" s="547">
        <v>337.82</v>
      </c>
      <c r="G41" s="512"/>
      <c r="H41" s="535"/>
    </row>
    <row r="42" spans="1:8" ht="12.75" customHeight="1">
      <c r="A42" s="1063"/>
      <c r="B42" s="1064"/>
      <c r="C42" s="957"/>
      <c r="D42" s="300"/>
      <c r="E42" s="479"/>
      <c r="F42" s="958"/>
      <c r="G42" s="959"/>
      <c r="H42" s="541"/>
    </row>
    <row r="43" spans="1:8" ht="12.75" customHeight="1">
      <c r="A43" s="34">
        <f>MAX(A$1:A42)+1</f>
        <v>7</v>
      </c>
      <c r="B43" s="836"/>
      <c r="C43" s="36" t="s">
        <v>50</v>
      </c>
      <c r="D43" s="37"/>
      <c r="E43" s="38" t="s">
        <v>51</v>
      </c>
      <c r="F43" s="1181"/>
      <c r="G43" s="847" t="s">
        <v>18</v>
      </c>
      <c r="H43" s="544">
        <v>341.32</v>
      </c>
    </row>
    <row r="44" spans="1:8" ht="25.5">
      <c r="A44" s="835"/>
      <c r="B44" s="836"/>
      <c r="C44" s="66"/>
      <c r="D44" s="67" t="s">
        <v>138</v>
      </c>
      <c r="E44" s="71" t="s">
        <v>139</v>
      </c>
      <c r="F44" s="1071"/>
      <c r="G44" s="776" t="s">
        <v>18</v>
      </c>
      <c r="H44" s="545">
        <v>341.32</v>
      </c>
    </row>
    <row r="45" spans="1:8" ht="15" customHeight="1">
      <c r="A45" s="835"/>
      <c r="B45" s="836"/>
      <c r="C45" s="430"/>
      <c r="D45" s="431"/>
      <c r="E45" s="1223" t="s">
        <v>2397</v>
      </c>
      <c r="F45" s="775"/>
      <c r="G45" s="776"/>
      <c r="H45" s="544"/>
    </row>
    <row r="46" spans="1:8" ht="15" customHeight="1">
      <c r="A46" s="835"/>
      <c r="B46" s="836"/>
      <c r="C46" s="430"/>
      <c r="D46" s="431"/>
      <c r="E46" s="549" t="s">
        <v>66</v>
      </c>
      <c r="F46" s="224">
        <f>H14+H20</f>
        <v>1595.0500000000002</v>
      </c>
      <c r="G46" s="776"/>
      <c r="H46" s="544"/>
    </row>
    <row r="47" spans="1:8" ht="15" customHeight="1">
      <c r="A47" s="835"/>
      <c r="B47" s="836"/>
      <c r="C47" s="430"/>
      <c r="D47" s="431"/>
      <c r="E47" s="549" t="s">
        <v>82</v>
      </c>
      <c r="F47" s="261">
        <f>-H31</f>
        <v>-1253.73</v>
      </c>
      <c r="G47" s="776"/>
      <c r="H47" s="544"/>
    </row>
    <row r="48" spans="1:8" ht="15" customHeight="1">
      <c r="A48" s="835"/>
      <c r="B48" s="836"/>
      <c r="C48" s="430"/>
      <c r="D48" s="431"/>
      <c r="E48" s="549"/>
      <c r="F48" s="212">
        <f>SUM(F46:F47)</f>
        <v>341.32000000000016</v>
      </c>
      <c r="G48" s="776"/>
      <c r="H48" s="544"/>
    </row>
    <row r="49" spans="1:8" ht="15" customHeight="1">
      <c r="A49" s="835"/>
      <c r="B49" s="836"/>
      <c r="C49" s="834"/>
      <c r="D49" s="773"/>
      <c r="E49" s="1074"/>
      <c r="F49" s="775"/>
      <c r="G49" s="776"/>
      <c r="H49" s="544"/>
    </row>
    <row r="50" spans="1:8" ht="15" customHeight="1">
      <c r="A50" s="334">
        <f>MAX(A$1:A48)+1</f>
        <v>8</v>
      </c>
      <c r="B50" s="836"/>
      <c r="C50" s="36" t="s">
        <v>484</v>
      </c>
      <c r="D50" s="37"/>
      <c r="E50" s="38" t="s">
        <v>485</v>
      </c>
      <c r="F50" s="39"/>
      <c r="G50" s="40" t="s">
        <v>36</v>
      </c>
      <c r="H50" s="544">
        <v>284</v>
      </c>
    </row>
    <row r="51" spans="1:8" ht="15" customHeight="1">
      <c r="A51" s="835"/>
      <c r="B51" s="836"/>
      <c r="C51" s="66"/>
      <c r="D51" s="67" t="s">
        <v>486</v>
      </c>
      <c r="E51" s="71" t="s">
        <v>487</v>
      </c>
      <c r="F51" s="61"/>
      <c r="G51" s="62" t="s">
        <v>36</v>
      </c>
      <c r="H51" s="545">
        <v>284</v>
      </c>
    </row>
    <row r="52" spans="1:8" ht="15" customHeight="1">
      <c r="A52" s="835"/>
      <c r="B52" s="836"/>
      <c r="C52" s="66"/>
      <c r="D52" s="67"/>
      <c r="E52" s="65" t="s">
        <v>2625</v>
      </c>
      <c r="F52" s="990">
        <v>284</v>
      </c>
      <c r="G52" s="62"/>
      <c r="H52" s="545"/>
    </row>
    <row r="53" spans="1:8" ht="15" customHeight="1">
      <c r="A53" s="835"/>
      <c r="B53" s="836"/>
      <c r="C53" s="66"/>
      <c r="D53" s="67"/>
      <c r="E53" s="71"/>
      <c r="F53" s="775"/>
      <c r="G53" s="62"/>
      <c r="H53" s="545"/>
    </row>
    <row r="54" spans="1:8">
      <c r="A54" s="835"/>
      <c r="B54" s="35" t="s">
        <v>501</v>
      </c>
      <c r="C54" s="35"/>
      <c r="D54" s="94"/>
      <c r="E54" s="27" t="s">
        <v>502</v>
      </c>
      <c r="G54" s="1137"/>
      <c r="H54" s="721"/>
    </row>
    <row r="55" spans="1:8">
      <c r="A55" s="835"/>
      <c r="B55" s="270"/>
      <c r="C55" s="605"/>
      <c r="D55" s="94"/>
      <c r="E55" s="27"/>
      <c r="G55" s="1137"/>
      <c r="H55" s="721"/>
    </row>
    <row r="56" spans="1:8" ht="25.5">
      <c r="A56" s="1224">
        <f>MAX(A$1:A54)+1</f>
        <v>9</v>
      </c>
      <c r="B56" s="1132"/>
      <c r="C56" s="725">
        <v>91282401</v>
      </c>
      <c r="D56" s="196"/>
      <c r="E56" s="251" t="s">
        <v>1740</v>
      </c>
      <c r="F56" s="264"/>
      <c r="G56" s="286" t="s">
        <v>145</v>
      </c>
      <c r="H56" s="540">
        <v>24</v>
      </c>
    </row>
    <row r="57" spans="1:8" ht="12.75" customHeight="1">
      <c r="A57" s="835"/>
      <c r="B57" s="1132"/>
      <c r="C57" s="344"/>
      <c r="D57" s="199"/>
      <c r="E57" s="77" t="s">
        <v>2626</v>
      </c>
      <c r="F57" s="212">
        <v>24</v>
      </c>
      <c r="G57" s="295"/>
      <c r="H57" s="723"/>
    </row>
    <row r="58" spans="1:8" ht="15" customHeight="1">
      <c r="A58" s="835"/>
      <c r="B58" s="836"/>
      <c r="C58" s="66"/>
      <c r="D58" s="67"/>
      <c r="E58" s="71"/>
      <c r="F58" s="775"/>
      <c r="G58" s="62"/>
      <c r="H58" s="545"/>
    </row>
    <row r="59" spans="1:8">
      <c r="A59" s="290"/>
      <c r="B59" s="1075" t="s">
        <v>416</v>
      </c>
      <c r="C59" s="1075"/>
      <c r="D59" s="1076"/>
      <c r="E59" s="1002" t="s">
        <v>417</v>
      </c>
      <c r="F59" s="1077"/>
      <c r="G59" s="333"/>
      <c r="H59" s="558"/>
    </row>
    <row r="60" spans="1:8">
      <c r="A60" s="290"/>
      <c r="B60" s="1075"/>
      <c r="C60" s="1075"/>
      <c r="D60" s="1076"/>
      <c r="E60" s="1002"/>
      <c r="F60" s="1225"/>
      <c r="G60" s="333"/>
      <c r="H60" s="558"/>
    </row>
    <row r="61" spans="1:8">
      <c r="A61" s="334">
        <f>MAX(A$1:A59)+1</f>
        <v>10</v>
      </c>
      <c r="B61" s="328"/>
      <c r="C61" s="36" t="s">
        <v>420</v>
      </c>
      <c r="D61" s="37"/>
      <c r="E61" s="38" t="s">
        <v>421</v>
      </c>
      <c r="F61" s="39"/>
      <c r="G61" s="40" t="s">
        <v>18</v>
      </c>
      <c r="H61" s="559">
        <v>3.38</v>
      </c>
    </row>
    <row r="62" spans="1:8">
      <c r="A62" s="835"/>
      <c r="B62" s="836"/>
      <c r="C62" s="66"/>
      <c r="D62" s="191" t="s">
        <v>561</v>
      </c>
      <c r="E62" s="193" t="s">
        <v>562</v>
      </c>
      <c r="F62" s="192"/>
      <c r="G62" s="32" t="s">
        <v>18</v>
      </c>
      <c r="H62" s="545">
        <v>3.38</v>
      </c>
    </row>
    <row r="63" spans="1:8">
      <c r="A63" s="835"/>
      <c r="B63" s="836"/>
      <c r="C63" s="834"/>
      <c r="D63" s="773"/>
      <c r="E63" s="467" t="s">
        <v>2627</v>
      </c>
      <c r="F63" s="990">
        <v>3.375</v>
      </c>
      <c r="G63" s="776"/>
      <c r="H63" s="544"/>
    </row>
    <row r="64" spans="1:8">
      <c r="A64" s="835"/>
      <c r="B64" s="836"/>
      <c r="C64" s="834"/>
      <c r="D64" s="773"/>
      <c r="E64" s="479"/>
      <c r="F64" s="775"/>
      <c r="G64" s="776"/>
      <c r="H64" s="544"/>
    </row>
    <row r="65" spans="1:8">
      <c r="A65" s="334">
        <f>MAX(A$1:A63)+1</f>
        <v>11</v>
      </c>
      <c r="B65" s="836"/>
      <c r="C65" s="36" t="s">
        <v>782</v>
      </c>
      <c r="D65" s="37"/>
      <c r="E65" s="38" t="s">
        <v>783</v>
      </c>
      <c r="F65" s="39"/>
      <c r="G65" s="40" t="s">
        <v>21</v>
      </c>
      <c r="H65" s="544">
        <v>12.83</v>
      </c>
    </row>
    <row r="66" spans="1:8">
      <c r="A66" s="835"/>
      <c r="B66" s="836"/>
      <c r="C66" s="66"/>
      <c r="D66" s="67" t="s">
        <v>2628</v>
      </c>
      <c r="E66" s="71" t="s">
        <v>2629</v>
      </c>
      <c r="F66" s="61"/>
      <c r="G66" s="62" t="s">
        <v>21</v>
      </c>
      <c r="H66" s="545">
        <v>12.83</v>
      </c>
    </row>
    <row r="67" spans="1:8">
      <c r="A67" s="835"/>
      <c r="B67" s="836"/>
      <c r="C67" s="834"/>
      <c r="D67" s="773"/>
      <c r="E67" s="467" t="s">
        <v>2630</v>
      </c>
      <c r="F67" s="990">
        <v>12.824999999999999</v>
      </c>
      <c r="G67" s="776"/>
      <c r="H67" s="544"/>
    </row>
    <row r="68" spans="1:8">
      <c r="A68" s="835"/>
      <c r="B68" s="836"/>
      <c r="C68" s="834"/>
      <c r="D68" s="773"/>
      <c r="E68" s="479"/>
      <c r="F68" s="775"/>
      <c r="G68" s="776"/>
      <c r="H68" s="544"/>
    </row>
    <row r="69" spans="1:8">
      <c r="A69" s="334">
        <f>MAX(A$1:A67)+1</f>
        <v>12</v>
      </c>
      <c r="B69" s="836"/>
      <c r="C69" s="36" t="s">
        <v>741</v>
      </c>
      <c r="D69" s="37"/>
      <c r="E69" s="38" t="s">
        <v>742</v>
      </c>
      <c r="F69" s="39"/>
      <c r="G69" s="40" t="s">
        <v>15</v>
      </c>
      <c r="H69" s="544">
        <v>0.06</v>
      </c>
    </row>
    <row r="70" spans="1:8">
      <c r="A70" s="835"/>
      <c r="B70" s="836"/>
      <c r="C70" s="66"/>
      <c r="D70" s="67" t="s">
        <v>2631</v>
      </c>
      <c r="E70" s="71" t="s">
        <v>2632</v>
      </c>
      <c r="F70" s="61"/>
      <c r="G70" s="62" t="s">
        <v>15</v>
      </c>
      <c r="H70" s="545">
        <v>0.06</v>
      </c>
    </row>
    <row r="71" spans="1:8">
      <c r="A71" s="835"/>
      <c r="B71" s="836"/>
      <c r="C71" s="834"/>
      <c r="D71" s="773"/>
      <c r="E71" s="467" t="s">
        <v>2633</v>
      </c>
      <c r="F71" s="990">
        <v>5.67E-2</v>
      </c>
      <c r="G71" s="776"/>
      <c r="H71" s="544"/>
    </row>
    <row r="72" spans="1:8">
      <c r="A72" s="835"/>
      <c r="B72" s="836"/>
      <c r="C72" s="834"/>
      <c r="D72" s="773"/>
      <c r="E72" s="479"/>
      <c r="F72" s="775"/>
      <c r="G72" s="776"/>
      <c r="H72" s="544"/>
    </row>
    <row r="73" spans="1:8" ht="25.5">
      <c r="A73" s="835"/>
      <c r="B73" s="1000" t="s">
        <v>480</v>
      </c>
      <c r="C73" s="1000"/>
      <c r="D73" s="1001"/>
      <c r="E73" s="1002" t="s">
        <v>481</v>
      </c>
      <c r="F73" s="958"/>
      <c r="G73" s="1010"/>
      <c r="H73" s="1084"/>
    </row>
    <row r="74" spans="1:8">
      <c r="A74" s="835"/>
      <c r="B74" s="1000"/>
      <c r="C74" s="1000"/>
      <c r="D74" s="1001"/>
      <c r="E74" s="1002"/>
      <c r="F74" s="958"/>
      <c r="G74" s="1010"/>
      <c r="H74" s="1084"/>
    </row>
    <row r="75" spans="1:8">
      <c r="A75" s="334">
        <f>MAX(A$1:A73)+1</f>
        <v>13</v>
      </c>
      <c r="B75" s="1085"/>
      <c r="C75" s="195">
        <v>91080101</v>
      </c>
      <c r="D75" s="199"/>
      <c r="E75" s="38" t="s">
        <v>712</v>
      </c>
      <c r="F75" s="39"/>
      <c r="G75" s="40" t="s">
        <v>36</v>
      </c>
      <c r="H75" s="1011">
        <v>12878</v>
      </c>
    </row>
    <row r="76" spans="1:8">
      <c r="A76" s="1027"/>
      <c r="B76" s="1085"/>
      <c r="C76" s="198"/>
      <c r="D76" s="199">
        <v>9108010101</v>
      </c>
      <c r="E76" s="71" t="s">
        <v>698</v>
      </c>
      <c r="F76" s="61"/>
      <c r="G76" s="62" t="s">
        <v>36</v>
      </c>
      <c r="H76" s="1081">
        <v>1820</v>
      </c>
    </row>
    <row r="77" spans="1:8">
      <c r="A77" s="1027"/>
      <c r="B77" s="1085"/>
      <c r="C77" s="1023"/>
      <c r="D77" s="1013"/>
      <c r="E77" s="1018" t="s">
        <v>2634</v>
      </c>
      <c r="F77" s="1035">
        <v>1820</v>
      </c>
      <c r="G77" s="1016"/>
      <c r="H77" s="1087"/>
    </row>
    <row r="78" spans="1:8">
      <c r="A78" s="835"/>
      <c r="B78" s="1082"/>
      <c r="C78" s="1083"/>
      <c r="D78" s="199">
        <v>9108010108</v>
      </c>
      <c r="E78" s="71" t="s">
        <v>615</v>
      </c>
      <c r="F78" s="61"/>
      <c r="G78" s="62" t="s">
        <v>36</v>
      </c>
      <c r="H78" s="1226">
        <v>11058</v>
      </c>
    </row>
    <row r="79" spans="1:8">
      <c r="A79" s="835"/>
      <c r="B79" s="1082"/>
      <c r="C79" s="1083"/>
      <c r="D79" s="600"/>
      <c r="E79" s="1018" t="s">
        <v>2635</v>
      </c>
      <c r="F79" s="229">
        <v>30</v>
      </c>
      <c r="G79" s="1010"/>
      <c r="H79" s="1084"/>
    </row>
    <row r="80" spans="1:8">
      <c r="A80" s="835"/>
      <c r="B80" s="1082"/>
      <c r="C80" s="1083"/>
      <c r="D80" s="600"/>
      <c r="E80" s="103" t="s">
        <v>2636</v>
      </c>
      <c r="F80" s="215">
        <v>11028</v>
      </c>
      <c r="G80" s="1010"/>
      <c r="H80" s="1084"/>
    </row>
    <row r="81" spans="1:8">
      <c r="A81" s="835"/>
      <c r="B81" s="1082"/>
      <c r="C81" s="1083"/>
      <c r="D81" s="600"/>
      <c r="E81" s="297"/>
      <c r="F81" s="104">
        <f>SUM(F79:F80)</f>
        <v>11058</v>
      </c>
      <c r="G81" s="1010"/>
      <c r="H81" s="1227"/>
    </row>
    <row r="82" spans="1:8">
      <c r="A82" s="835"/>
      <c r="B82" s="1082"/>
      <c r="C82" s="1083"/>
      <c r="D82" s="600"/>
      <c r="E82" s="297"/>
      <c r="F82" s="958"/>
      <c r="G82" s="1010"/>
      <c r="H82" s="1227"/>
    </row>
    <row r="83" spans="1:8">
      <c r="A83" s="334">
        <f>MAX(A$1:A80)+1</f>
        <v>14</v>
      </c>
      <c r="B83" s="1028"/>
      <c r="C83" s="195">
        <v>91010701</v>
      </c>
      <c r="D83" s="196"/>
      <c r="E83" s="38" t="s">
        <v>2637</v>
      </c>
      <c r="F83" s="39"/>
      <c r="G83" s="40" t="s">
        <v>36</v>
      </c>
      <c r="H83" s="1175">
        <v>11058</v>
      </c>
    </row>
    <row r="84" spans="1:8">
      <c r="A84" s="1027"/>
      <c r="B84" s="1028"/>
      <c r="C84" s="198"/>
      <c r="D84" s="199">
        <v>9101070101</v>
      </c>
      <c r="E84" s="71" t="s">
        <v>2638</v>
      </c>
      <c r="F84" s="61"/>
      <c r="G84" s="62" t="s">
        <v>36</v>
      </c>
      <c r="H84" s="1176">
        <v>11058</v>
      </c>
    </row>
    <row r="85" spans="1:8">
      <c r="A85" s="1027"/>
      <c r="B85" s="1028"/>
      <c r="C85" s="1023"/>
      <c r="D85" s="1029"/>
      <c r="E85" s="1018" t="s">
        <v>2639</v>
      </c>
      <c r="F85" s="1035">
        <v>11058</v>
      </c>
      <c r="G85" s="1016"/>
      <c r="H85" s="566"/>
    </row>
    <row r="86" spans="1:8">
      <c r="A86" s="1027"/>
      <c r="B86" s="1028"/>
      <c r="C86" s="1023"/>
      <c r="D86" s="1029"/>
      <c r="E86" s="1014"/>
      <c r="F86" s="1030"/>
      <c r="G86" s="1016"/>
      <c r="H86" s="571"/>
    </row>
    <row r="87" spans="1:8">
      <c r="A87" s="334">
        <f>MAX(A$1:A85)+1</f>
        <v>15</v>
      </c>
      <c r="B87" s="1028"/>
      <c r="C87" s="195">
        <v>91010702</v>
      </c>
      <c r="D87" s="196"/>
      <c r="E87" s="38" t="s">
        <v>2547</v>
      </c>
      <c r="F87" s="39"/>
      <c r="G87" s="40" t="s">
        <v>36</v>
      </c>
      <c r="H87" s="1175">
        <v>47484</v>
      </c>
    </row>
    <row r="88" spans="1:8">
      <c r="A88" s="334"/>
      <c r="B88" s="495"/>
      <c r="C88" s="198"/>
      <c r="D88" s="199">
        <v>9101070201</v>
      </c>
      <c r="E88" s="71" t="s">
        <v>2548</v>
      </c>
      <c r="F88" s="61"/>
      <c r="G88" s="62" t="s">
        <v>36</v>
      </c>
      <c r="H88" s="566">
        <v>47484</v>
      </c>
    </row>
    <row r="89" spans="1:8">
      <c r="A89" s="1091"/>
      <c r="B89" s="495"/>
      <c r="C89" s="1092"/>
      <c r="D89" s="1093"/>
      <c r="E89" s="1095" t="s">
        <v>2640</v>
      </c>
      <c r="F89" s="1035">
        <v>284</v>
      </c>
      <c r="G89" s="959"/>
      <c r="H89" s="566"/>
    </row>
    <row r="90" spans="1:8">
      <c r="A90" s="1091"/>
      <c r="B90" s="495"/>
      <c r="C90" s="1092"/>
      <c r="D90" s="1093"/>
      <c r="E90" s="1095" t="s">
        <v>2641</v>
      </c>
      <c r="F90" s="1035">
        <v>5900</v>
      </c>
      <c r="G90" s="959"/>
      <c r="H90" s="571"/>
    </row>
    <row r="91" spans="1:8">
      <c r="A91" s="1091"/>
      <c r="B91" s="495"/>
      <c r="C91" s="1092"/>
      <c r="D91" s="1093"/>
      <c r="E91" s="1095" t="s">
        <v>2642</v>
      </c>
      <c r="F91" s="1228">
        <v>41300</v>
      </c>
      <c r="G91" s="959"/>
      <c r="H91" s="571"/>
    </row>
    <row r="92" spans="1:8">
      <c r="A92" s="1091"/>
      <c r="B92" s="495"/>
      <c r="C92" s="1092"/>
      <c r="D92" s="1093"/>
      <c r="E92" s="1094"/>
      <c r="F92" s="1035">
        <f>SUM(F89:F91)</f>
        <v>47484</v>
      </c>
      <c r="G92" s="959"/>
      <c r="H92" s="571"/>
    </row>
    <row r="93" spans="1:8">
      <c r="A93" s="1091"/>
      <c r="B93" s="495"/>
      <c r="C93" s="1092"/>
      <c r="D93" s="1093"/>
      <c r="E93" s="1094"/>
      <c r="F93" s="1030"/>
      <c r="G93" s="959"/>
      <c r="H93" s="571"/>
    </row>
    <row r="94" spans="1:8" ht="13.5" customHeight="1">
      <c r="A94" s="334">
        <f>MAX(A$1:A93)+1</f>
        <v>16</v>
      </c>
      <c r="B94" s="1000"/>
      <c r="C94" s="195">
        <v>91120703</v>
      </c>
      <c r="D94" s="196"/>
      <c r="E94" s="38" t="s">
        <v>2643</v>
      </c>
      <c r="F94" s="39"/>
      <c r="G94" s="40" t="s">
        <v>33</v>
      </c>
      <c r="H94" s="1011">
        <v>48</v>
      </c>
    </row>
    <row r="95" spans="1:8" ht="13.5" customHeight="1">
      <c r="A95" s="999"/>
      <c r="B95" s="1000"/>
      <c r="C95" s="198"/>
      <c r="D95" s="199">
        <v>9112070301</v>
      </c>
      <c r="E95" s="71" t="s">
        <v>2644</v>
      </c>
      <c r="F95" s="61"/>
      <c r="G95" s="62" t="s">
        <v>33</v>
      </c>
      <c r="H95" s="1005">
        <v>48</v>
      </c>
    </row>
    <row r="96" spans="1:8" ht="13.5" customHeight="1">
      <c r="A96" s="999"/>
      <c r="B96" s="1000"/>
      <c r="C96" s="1229"/>
      <c r="D96" s="199"/>
      <c r="E96" s="65" t="s">
        <v>2645</v>
      </c>
      <c r="F96" s="1035">
        <v>12</v>
      </c>
      <c r="G96" s="62"/>
      <c r="H96" s="1005"/>
    </row>
    <row r="97" spans="1:8" ht="13.5" customHeight="1">
      <c r="A97" s="999"/>
      <c r="B97" s="1000"/>
      <c r="C97" s="1229"/>
      <c r="D97" s="199"/>
      <c r="E97" s="65" t="s">
        <v>2646</v>
      </c>
      <c r="F97" s="1228">
        <v>36</v>
      </c>
      <c r="G97" s="62"/>
      <c r="H97" s="1005"/>
    </row>
    <row r="98" spans="1:8" ht="13.5" customHeight="1">
      <c r="A98" s="999"/>
      <c r="B98" s="1000"/>
      <c r="C98" s="1229"/>
      <c r="D98" s="199"/>
      <c r="E98" s="65"/>
      <c r="F98" s="1035">
        <f>SUM(F96:F97)</f>
        <v>48</v>
      </c>
      <c r="G98" s="62"/>
      <c r="H98" s="1005"/>
    </row>
    <row r="99" spans="1:8" ht="13.5" customHeight="1">
      <c r="A99" s="999"/>
      <c r="B99" s="1000"/>
      <c r="C99" s="1229"/>
      <c r="D99" s="199"/>
      <c r="E99" s="71"/>
      <c r="F99" s="1030"/>
      <c r="G99" s="62"/>
      <c r="H99" s="1005"/>
    </row>
    <row r="100" spans="1:8" ht="13.5" customHeight="1">
      <c r="A100" s="334">
        <f>MAX(A$1:A97)+1</f>
        <v>17</v>
      </c>
      <c r="B100" s="1000"/>
      <c r="C100" s="195">
        <v>91121201</v>
      </c>
      <c r="D100" s="196"/>
      <c r="E100" s="38" t="s">
        <v>689</v>
      </c>
      <c r="F100" s="39"/>
      <c r="G100" s="40" t="s">
        <v>33</v>
      </c>
      <c r="H100" s="1011">
        <v>1</v>
      </c>
    </row>
    <row r="101" spans="1:8" ht="13.5" customHeight="1">
      <c r="A101" s="999"/>
      <c r="B101" s="1000"/>
      <c r="C101" s="198"/>
      <c r="D101" s="199">
        <v>9112120102</v>
      </c>
      <c r="E101" s="71" t="s">
        <v>690</v>
      </c>
      <c r="F101" s="61"/>
      <c r="G101" s="62" t="s">
        <v>33</v>
      </c>
      <c r="H101" s="1005">
        <v>1</v>
      </c>
    </row>
    <row r="102" spans="1:8" ht="13.5" customHeight="1">
      <c r="A102" s="999"/>
      <c r="B102" s="1000"/>
      <c r="C102" s="1229"/>
      <c r="D102" s="199"/>
      <c r="E102" s="65" t="s">
        <v>2647</v>
      </c>
      <c r="F102" s="1035">
        <v>1</v>
      </c>
      <c r="G102" s="62"/>
      <c r="H102" s="1005"/>
    </row>
    <row r="103" spans="1:8" ht="13.5" customHeight="1">
      <c r="A103" s="999"/>
      <c r="B103" s="1000"/>
      <c r="C103" s="1229"/>
      <c r="D103" s="199"/>
      <c r="E103" s="65"/>
      <c r="F103" s="1035"/>
      <c r="G103" s="62"/>
      <c r="H103" s="1005"/>
    </row>
    <row r="104" spans="1:8" ht="13.5" customHeight="1">
      <c r="A104" s="334">
        <f>MAX(A$1:A103)+1</f>
        <v>18</v>
      </c>
      <c r="B104" s="1000"/>
      <c r="C104" s="195">
        <v>91160201</v>
      </c>
      <c r="D104" s="198"/>
      <c r="E104" s="38" t="s">
        <v>2648</v>
      </c>
      <c r="F104" s="61"/>
      <c r="G104" s="40" t="s">
        <v>33</v>
      </c>
      <c r="H104" s="1011">
        <v>4</v>
      </c>
    </row>
    <row r="105" spans="1:8" ht="13.5" customHeight="1">
      <c r="A105" s="999"/>
      <c r="B105" s="1000"/>
      <c r="C105" s="195"/>
      <c r="D105" s="198">
        <v>9116020101</v>
      </c>
      <c r="E105" s="71" t="s">
        <v>2649</v>
      </c>
      <c r="F105" s="61"/>
      <c r="G105" s="62" t="s">
        <v>33</v>
      </c>
      <c r="H105" s="1005">
        <v>4</v>
      </c>
    </row>
    <row r="106" spans="1:8" ht="13.5" customHeight="1">
      <c r="A106" s="999"/>
      <c r="B106" s="1000"/>
      <c r="C106" s="1229"/>
      <c r="D106" s="199"/>
      <c r="E106" s="65" t="s">
        <v>2650</v>
      </c>
      <c r="F106" s="1035">
        <v>4</v>
      </c>
      <c r="G106" s="62"/>
      <c r="H106" s="1005"/>
    </row>
    <row r="107" spans="1:8" ht="13.5" customHeight="1">
      <c r="A107" s="999"/>
      <c r="B107" s="1000"/>
      <c r="C107" s="1229"/>
      <c r="D107" s="199"/>
      <c r="E107" s="65"/>
      <c r="F107" s="1035"/>
      <c r="G107" s="62"/>
      <c r="H107" s="1005"/>
    </row>
    <row r="108" spans="1:8" ht="13.5" customHeight="1">
      <c r="A108" s="334">
        <f>MAX(A$1:A106)+1</f>
        <v>19</v>
      </c>
      <c r="B108" s="495"/>
      <c r="C108" s="195">
        <v>91200101</v>
      </c>
      <c r="D108" s="196"/>
      <c r="E108" s="38" t="s">
        <v>713</v>
      </c>
      <c r="F108" s="39"/>
      <c r="G108" s="40" t="s">
        <v>33</v>
      </c>
      <c r="H108" s="1175">
        <v>9</v>
      </c>
    </row>
    <row r="109" spans="1:8" ht="13.5" customHeight="1">
      <c r="A109" s="1091"/>
      <c r="B109" s="495"/>
      <c r="C109" s="198"/>
      <c r="D109" s="199">
        <v>9120010101</v>
      </c>
      <c r="E109" s="71" t="s">
        <v>714</v>
      </c>
      <c r="F109" s="1030"/>
      <c r="G109" s="62" t="s">
        <v>33</v>
      </c>
      <c r="H109" s="566">
        <v>9</v>
      </c>
    </row>
    <row r="110" spans="1:8" ht="13.5" customHeight="1">
      <c r="A110" s="999"/>
      <c r="B110" s="495"/>
      <c r="C110" s="1230"/>
      <c r="D110" s="1089"/>
      <c r="E110" s="65" t="s">
        <v>2651</v>
      </c>
      <c r="F110" s="1035">
        <v>9</v>
      </c>
      <c r="G110" s="847"/>
      <c r="H110" s="540"/>
    </row>
    <row r="111" spans="1:8" ht="13.5" customHeight="1">
      <c r="A111" s="999"/>
      <c r="B111" s="495"/>
      <c r="C111" s="1230"/>
      <c r="D111" s="1089"/>
      <c r="E111" s="71"/>
      <c r="F111" s="1030"/>
      <c r="G111" s="847"/>
      <c r="H111" s="570"/>
    </row>
    <row r="112" spans="1:8" ht="13.5" customHeight="1">
      <c r="A112" s="334">
        <f>MAX(A$1:A110)+1</f>
        <v>20</v>
      </c>
      <c r="B112" s="495"/>
      <c r="C112" s="195">
        <v>91200203</v>
      </c>
      <c r="D112" s="196"/>
      <c r="E112" s="38" t="s">
        <v>738</v>
      </c>
      <c r="F112" s="39"/>
      <c r="G112" s="40" t="s">
        <v>33</v>
      </c>
      <c r="H112" s="1175">
        <v>178</v>
      </c>
    </row>
    <row r="113" spans="1:8" ht="13.5" customHeight="1">
      <c r="A113" s="999"/>
      <c r="B113" s="1000"/>
      <c r="C113" s="1229"/>
      <c r="D113" s="199">
        <v>9120020304</v>
      </c>
      <c r="E113" s="71" t="s">
        <v>2652</v>
      </c>
      <c r="F113" s="1231"/>
      <c r="G113" s="62" t="s">
        <v>33</v>
      </c>
      <c r="H113" s="1005">
        <v>178</v>
      </c>
    </row>
    <row r="114" spans="1:8" ht="13.5" customHeight="1">
      <c r="A114" s="999"/>
      <c r="B114" s="1000"/>
      <c r="C114" s="1229"/>
      <c r="D114" s="199"/>
      <c r="E114" s="65" t="s">
        <v>2653</v>
      </c>
      <c r="F114" s="1035">
        <v>145</v>
      </c>
      <c r="G114" s="62"/>
      <c r="H114" s="1005"/>
    </row>
    <row r="115" spans="1:8" ht="13.5" customHeight="1">
      <c r="A115" s="999"/>
      <c r="B115" s="1000"/>
      <c r="C115" s="1229"/>
      <c r="D115" s="199"/>
      <c r="E115" s="65" t="s">
        <v>2654</v>
      </c>
      <c r="F115" s="1035">
        <v>28</v>
      </c>
      <c r="G115" s="62"/>
      <c r="H115" s="1005"/>
    </row>
    <row r="116" spans="1:8" ht="13.5" customHeight="1">
      <c r="A116" s="999"/>
      <c r="B116" s="1000"/>
      <c r="C116" s="1229"/>
      <c r="D116" s="199"/>
      <c r="E116" s="65" t="s">
        <v>2655</v>
      </c>
      <c r="F116" s="1035">
        <v>4</v>
      </c>
      <c r="G116" s="62"/>
      <c r="H116" s="1005"/>
    </row>
    <row r="117" spans="1:8" ht="13.5" customHeight="1">
      <c r="A117" s="999"/>
      <c r="B117" s="1000"/>
      <c r="C117" s="1229"/>
      <c r="D117" s="199"/>
      <c r="E117" s="65" t="s">
        <v>2656</v>
      </c>
      <c r="F117" s="1228">
        <v>1</v>
      </c>
      <c r="G117" s="62"/>
      <c r="H117" s="1005"/>
    </row>
    <row r="118" spans="1:8" ht="13.5" customHeight="1">
      <c r="A118" s="999"/>
      <c r="B118" s="1000"/>
      <c r="C118" s="1229"/>
      <c r="D118" s="199"/>
      <c r="E118" s="65"/>
      <c r="F118" s="1035">
        <f>SUM(F114:F117)</f>
        <v>178</v>
      </c>
      <c r="G118" s="62"/>
      <c r="H118" s="1005"/>
    </row>
    <row r="119" spans="1:8" ht="13.5" customHeight="1">
      <c r="A119" s="999"/>
      <c r="B119" s="1000"/>
      <c r="C119" s="1229"/>
      <c r="D119" s="199"/>
      <c r="E119" s="65" t="s">
        <v>2657</v>
      </c>
      <c r="F119" s="1035"/>
      <c r="G119" s="62"/>
      <c r="H119" s="1005"/>
    </row>
    <row r="120" spans="1:8" ht="13.5" customHeight="1">
      <c r="A120" s="999"/>
      <c r="B120" s="1000"/>
      <c r="C120" s="1229"/>
      <c r="D120" s="199"/>
      <c r="E120" s="71"/>
      <c r="F120" s="1030"/>
      <c r="G120" s="62"/>
      <c r="H120" s="1005"/>
    </row>
    <row r="121" spans="1:8" ht="13.5" customHeight="1">
      <c r="A121" s="334">
        <f>MAX(A$1:A119)+1</f>
        <v>21</v>
      </c>
      <c r="B121" s="1000"/>
      <c r="C121" s="195">
        <v>91200501</v>
      </c>
      <c r="D121" s="196"/>
      <c r="E121" s="38" t="s">
        <v>2658</v>
      </c>
      <c r="F121" s="39"/>
      <c r="G121" s="40" t="s">
        <v>33</v>
      </c>
      <c r="H121" s="1175">
        <v>161</v>
      </c>
    </row>
    <row r="122" spans="1:8" ht="13.5" customHeight="1">
      <c r="A122" s="999"/>
      <c r="B122" s="1000"/>
      <c r="C122" s="198"/>
      <c r="D122" s="199">
        <v>9120050102</v>
      </c>
      <c r="E122" s="71" t="s">
        <v>2659</v>
      </c>
      <c r="F122" s="61"/>
      <c r="G122" s="62" t="s">
        <v>33</v>
      </c>
      <c r="H122" s="1005">
        <v>161</v>
      </c>
    </row>
    <row r="123" spans="1:8" ht="13.5" customHeight="1">
      <c r="A123" s="999"/>
      <c r="B123" s="1000"/>
      <c r="C123" s="344"/>
      <c r="D123" s="199"/>
      <c r="E123" s="65" t="s">
        <v>2660</v>
      </c>
      <c r="F123" s="1035">
        <v>153</v>
      </c>
      <c r="G123" s="62"/>
      <c r="H123" s="1005"/>
    </row>
    <row r="124" spans="1:8" ht="13.5" customHeight="1">
      <c r="A124" s="999"/>
      <c r="B124" s="1000"/>
      <c r="C124" s="1229"/>
      <c r="D124" s="199"/>
      <c r="E124" s="65" t="s">
        <v>2661</v>
      </c>
      <c r="F124" s="1035">
        <v>2</v>
      </c>
      <c r="G124" s="62"/>
      <c r="H124" s="1005"/>
    </row>
    <row r="125" spans="1:8" ht="13.5" customHeight="1">
      <c r="A125" s="999"/>
      <c r="B125" s="1000"/>
      <c r="C125" s="1229"/>
      <c r="D125" s="199"/>
      <c r="E125" s="65" t="s">
        <v>2662</v>
      </c>
      <c r="F125" s="1035">
        <v>3</v>
      </c>
      <c r="G125" s="62"/>
      <c r="H125" s="1005"/>
    </row>
    <row r="126" spans="1:8" ht="13.5" customHeight="1">
      <c r="A126" s="999"/>
      <c r="B126" s="1000"/>
      <c r="C126" s="1229"/>
      <c r="D126" s="199"/>
      <c r="E126" s="65" t="s">
        <v>2663</v>
      </c>
      <c r="F126" s="1035">
        <v>2</v>
      </c>
      <c r="G126" s="62"/>
      <c r="H126" s="1005"/>
    </row>
    <row r="127" spans="1:8" ht="13.5" customHeight="1">
      <c r="A127" s="999"/>
      <c r="B127" s="1000"/>
      <c r="C127" s="1229"/>
      <c r="D127" s="199"/>
      <c r="E127" s="65" t="s">
        <v>2664</v>
      </c>
      <c r="F127" s="1228">
        <v>1</v>
      </c>
      <c r="G127" s="62"/>
      <c r="H127" s="1005"/>
    </row>
    <row r="128" spans="1:8" ht="13.5" customHeight="1">
      <c r="A128" s="999"/>
      <c r="B128" s="1000"/>
      <c r="C128" s="1229"/>
      <c r="D128" s="199"/>
      <c r="E128" s="65"/>
      <c r="F128" s="1035">
        <f>SUM(F123:F127)</f>
        <v>161</v>
      </c>
      <c r="G128" s="62"/>
      <c r="H128" s="1005"/>
    </row>
    <row r="129" spans="1:8" ht="13.5" customHeight="1">
      <c r="A129" s="999"/>
      <c r="B129" s="1000"/>
      <c r="C129" s="1229"/>
      <c r="D129" s="199"/>
      <c r="E129" s="71"/>
      <c r="F129" s="1030"/>
      <c r="G129" s="62"/>
      <c r="H129" s="1005"/>
    </row>
    <row r="130" spans="1:8" ht="13.5" customHeight="1">
      <c r="A130" s="334">
        <f>MAX(A$1:A128)+1</f>
        <v>22</v>
      </c>
      <c r="B130" s="1000"/>
      <c r="C130" s="195">
        <v>91200502</v>
      </c>
      <c r="D130" s="196"/>
      <c r="E130" s="38" t="s">
        <v>715</v>
      </c>
      <c r="F130" s="39"/>
      <c r="G130" s="40" t="s">
        <v>33</v>
      </c>
      <c r="H130" s="1175">
        <v>246</v>
      </c>
    </row>
    <row r="131" spans="1:8" ht="13.5" customHeight="1">
      <c r="A131" s="999"/>
      <c r="B131" s="1000"/>
      <c r="C131" s="198"/>
      <c r="D131" s="199">
        <v>9120050201</v>
      </c>
      <c r="E131" s="71" t="s">
        <v>716</v>
      </c>
      <c r="F131" s="1030"/>
      <c r="G131" s="62" t="s">
        <v>33</v>
      </c>
      <c r="H131" s="1005">
        <v>246</v>
      </c>
    </row>
    <row r="132" spans="1:8" ht="13.5" customHeight="1">
      <c r="A132" s="999"/>
      <c r="B132" s="1000"/>
      <c r="C132" s="1229"/>
      <c r="D132" s="199"/>
      <c r="E132" s="71" t="s">
        <v>2665</v>
      </c>
      <c r="F132" s="1030">
        <v>246</v>
      </c>
      <c r="G132" s="62"/>
      <c r="H132" s="1005"/>
    </row>
    <row r="133" spans="1:8" ht="13.5" customHeight="1">
      <c r="A133" s="999"/>
      <c r="B133" s="1000"/>
      <c r="C133" s="1229"/>
      <c r="D133" s="199"/>
      <c r="E133" s="65"/>
      <c r="F133" s="1035"/>
      <c r="G133" s="62"/>
      <c r="H133" s="1005"/>
    </row>
    <row r="134" spans="1:8" ht="25.5">
      <c r="A134" s="334">
        <f>MAX(A$1:A102)+1</f>
        <v>18</v>
      </c>
      <c r="B134" s="960"/>
      <c r="C134" s="1007">
        <v>91220702</v>
      </c>
      <c r="D134" s="1008"/>
      <c r="E134" s="496" t="s">
        <v>648</v>
      </c>
      <c r="F134" s="1009"/>
      <c r="G134" s="1010" t="s">
        <v>33</v>
      </c>
      <c r="H134" s="1011">
        <v>750</v>
      </c>
    </row>
    <row r="135" spans="1:8" ht="25.5">
      <c r="A135" s="1012"/>
      <c r="B135" s="960"/>
      <c r="C135" s="1007"/>
      <c r="D135" s="1013">
        <v>9122070201</v>
      </c>
      <c r="E135" s="1014" t="s">
        <v>649</v>
      </c>
      <c r="F135" s="1015"/>
      <c r="G135" s="1016" t="s">
        <v>33</v>
      </c>
      <c r="H135" s="1017">
        <v>750</v>
      </c>
    </row>
    <row r="136" spans="1:8">
      <c r="A136" s="1012"/>
      <c r="B136" s="960"/>
      <c r="C136" s="1007"/>
      <c r="D136" s="1008"/>
      <c r="E136" s="1018" t="s">
        <v>647</v>
      </c>
      <c r="F136" s="572">
        <v>750</v>
      </c>
      <c r="G136" s="1010"/>
      <c r="H136" s="1019"/>
    </row>
    <row r="137" spans="1:8">
      <c r="A137" s="1012"/>
      <c r="B137" s="960"/>
      <c r="C137" s="1007"/>
      <c r="D137" s="1008"/>
      <c r="E137" s="1014"/>
      <c r="F137" s="1232"/>
      <c r="G137" s="1010"/>
      <c r="H137" s="1019"/>
    </row>
    <row r="138" spans="1:8" ht="25.5">
      <c r="A138" s="334">
        <f>MAX(A$1:A136)+1</f>
        <v>23</v>
      </c>
      <c r="B138" s="960"/>
      <c r="C138" s="1007">
        <v>91221001</v>
      </c>
      <c r="D138" s="1008"/>
      <c r="E138" s="496" t="s">
        <v>619</v>
      </c>
      <c r="F138" s="779"/>
      <c r="G138" s="1010" t="s">
        <v>36</v>
      </c>
      <c r="H138" s="1011">
        <v>6150</v>
      </c>
    </row>
    <row r="139" spans="1:8" ht="25.5">
      <c r="A139" s="1021"/>
      <c r="B139" s="1022"/>
      <c r="C139" s="1023"/>
      <c r="D139" s="1013">
        <v>9122100103</v>
      </c>
      <c r="E139" s="1014" t="s">
        <v>620</v>
      </c>
      <c r="F139" s="958"/>
      <c r="G139" s="1016" t="s">
        <v>36</v>
      </c>
      <c r="H139" s="1024">
        <v>5900</v>
      </c>
    </row>
    <row r="140" spans="1:8">
      <c r="A140" s="1021"/>
      <c r="B140" s="1022"/>
      <c r="C140" s="331"/>
      <c r="D140" s="332"/>
      <c r="E140" s="1018" t="s">
        <v>734</v>
      </c>
      <c r="F140" s="1025">
        <v>5900</v>
      </c>
      <c r="G140" s="523"/>
      <c r="H140" s="1026"/>
    </row>
    <row r="141" spans="1:8" ht="25.5">
      <c r="A141" s="1027"/>
      <c r="B141" s="1028"/>
      <c r="C141" s="1023"/>
      <c r="D141" s="1029">
        <v>9122100102</v>
      </c>
      <c r="E141" s="1014" t="s">
        <v>717</v>
      </c>
      <c r="F141" s="1030"/>
      <c r="G141" s="1016" t="s">
        <v>36</v>
      </c>
      <c r="H141" s="1017">
        <v>250</v>
      </c>
    </row>
    <row r="142" spans="1:8">
      <c r="A142" s="1027"/>
      <c r="B142" s="1028"/>
      <c r="C142" s="1023"/>
      <c r="D142" s="1029"/>
      <c r="E142" s="1018" t="s">
        <v>2460</v>
      </c>
      <c r="F142" s="521">
        <v>250</v>
      </c>
      <c r="G142" s="1016"/>
      <c r="H142" s="1031"/>
    </row>
    <row r="143" spans="1:8">
      <c r="A143" s="1027"/>
      <c r="B143" s="1028"/>
      <c r="C143" s="1023"/>
      <c r="D143" s="1029"/>
      <c r="E143" s="1018"/>
      <c r="F143" s="521"/>
      <c r="G143" s="1016"/>
      <c r="H143" s="1031"/>
    </row>
    <row r="144" spans="1:8">
      <c r="A144" s="334">
        <f>MAX(A$1:A142)+1</f>
        <v>24</v>
      </c>
      <c r="B144" s="1000"/>
      <c r="C144" s="195">
        <v>91280101</v>
      </c>
      <c r="D144" s="196"/>
      <c r="E144" s="38" t="s">
        <v>2666</v>
      </c>
      <c r="F144" s="303"/>
      <c r="G144" s="40" t="s">
        <v>33</v>
      </c>
      <c r="H144" s="1011">
        <v>576</v>
      </c>
    </row>
    <row r="145" spans="1:8">
      <c r="A145" s="999"/>
      <c r="B145" s="1000"/>
      <c r="C145" s="1233"/>
      <c r="D145" s="199">
        <v>9128010108</v>
      </c>
      <c r="E145" s="71" t="s">
        <v>2667</v>
      </c>
      <c r="F145" s="1030"/>
      <c r="G145" s="62" t="s">
        <v>33</v>
      </c>
      <c r="H145" s="1005">
        <v>576</v>
      </c>
    </row>
    <row r="146" spans="1:8">
      <c r="A146" s="999"/>
      <c r="B146" s="1000"/>
      <c r="C146" s="1229"/>
      <c r="D146" s="199"/>
      <c r="E146" s="65" t="s">
        <v>2668</v>
      </c>
      <c r="F146" s="1035">
        <v>144</v>
      </c>
      <c r="G146" s="62"/>
      <c r="H146" s="1005"/>
    </row>
    <row r="147" spans="1:8">
      <c r="A147" s="999"/>
      <c r="B147" s="1000"/>
      <c r="C147" s="1229"/>
      <c r="D147" s="199"/>
      <c r="E147" s="65" t="s">
        <v>2669</v>
      </c>
      <c r="F147" s="1035">
        <v>144</v>
      </c>
      <c r="G147" s="62"/>
      <c r="H147" s="1005"/>
    </row>
    <row r="148" spans="1:8">
      <c r="A148" s="999"/>
      <c r="B148" s="1000"/>
      <c r="C148" s="1229"/>
      <c r="D148" s="199"/>
      <c r="E148" s="65" t="s">
        <v>2670</v>
      </c>
      <c r="F148" s="1035">
        <v>144</v>
      </c>
      <c r="G148" s="62"/>
      <c r="H148" s="1005"/>
    </row>
    <row r="149" spans="1:8">
      <c r="A149" s="999"/>
      <c r="B149" s="1000"/>
      <c r="C149" s="1229"/>
      <c r="D149" s="199"/>
      <c r="E149" s="65" t="s">
        <v>2671</v>
      </c>
      <c r="F149" s="1228">
        <v>144</v>
      </c>
      <c r="G149" s="62"/>
      <c r="H149" s="1005"/>
    </row>
    <row r="150" spans="1:8">
      <c r="A150" s="1027"/>
      <c r="B150" s="1028"/>
      <c r="C150" s="1023"/>
      <c r="D150" s="1029"/>
      <c r="E150" s="1018"/>
      <c r="F150" s="521">
        <f>SUM(F146:F149)</f>
        <v>576</v>
      </c>
      <c r="G150" s="1016"/>
      <c r="H150" s="1031"/>
    </row>
    <row r="151" spans="1:8">
      <c r="A151" s="1027"/>
      <c r="B151" s="1028"/>
      <c r="C151" s="1023"/>
      <c r="D151" s="1029"/>
      <c r="E151" s="1014"/>
      <c r="F151" s="1234"/>
      <c r="G151" s="1016"/>
      <c r="H151" s="1031"/>
    </row>
    <row r="152" spans="1:8" ht="25.5">
      <c r="A152" s="290"/>
      <c r="B152" s="24" t="s">
        <v>1749</v>
      </c>
      <c r="C152" s="24"/>
      <c r="D152" s="24"/>
      <c r="E152" s="726" t="s">
        <v>1750</v>
      </c>
      <c r="F152" s="983"/>
      <c r="G152" s="295"/>
      <c r="H152" s="541"/>
    </row>
    <row r="153" spans="1:8">
      <c r="A153" s="290"/>
      <c r="B153" s="328"/>
      <c r="C153" s="198"/>
      <c r="D153" s="199"/>
      <c r="E153" s="360"/>
      <c r="F153" s="983"/>
      <c r="G153" s="295"/>
      <c r="H153" s="541"/>
    </row>
    <row r="154" spans="1:8">
      <c r="A154" s="334">
        <f>MAX(A$1:A152)+1</f>
        <v>25</v>
      </c>
      <c r="B154" s="328"/>
      <c r="C154" s="725" t="s">
        <v>1751</v>
      </c>
      <c r="D154" s="196"/>
      <c r="E154" s="251" t="s">
        <v>1752</v>
      </c>
      <c r="F154" s="264"/>
      <c r="G154" s="286" t="s">
        <v>33</v>
      </c>
      <c r="H154" s="722">
        <v>2</v>
      </c>
    </row>
    <row r="155" spans="1:8" s="1014" customFormat="1" ht="24.75" customHeight="1">
      <c r="A155" s="290"/>
      <c r="B155" s="328"/>
      <c r="C155" s="344"/>
      <c r="D155" s="199" t="s">
        <v>1753</v>
      </c>
      <c r="E155" s="167" t="s">
        <v>1754</v>
      </c>
      <c r="F155" s="212"/>
      <c r="G155" s="295" t="s">
        <v>33</v>
      </c>
      <c r="H155" s="723">
        <v>2</v>
      </c>
    </row>
    <row r="156" spans="1:8">
      <c r="A156" s="290"/>
      <c r="B156" s="328"/>
      <c r="C156" s="344"/>
      <c r="D156" s="199"/>
      <c r="E156" s="77" t="s">
        <v>2672</v>
      </c>
      <c r="F156" s="212">
        <v>1</v>
      </c>
      <c r="G156" s="295"/>
      <c r="H156" s="723"/>
    </row>
    <row r="157" spans="1:8" ht="13.5" thickBot="1">
      <c r="A157" s="471"/>
      <c r="B157" s="472"/>
      <c r="C157" s="984"/>
      <c r="D157" s="392"/>
      <c r="E157" s="607" t="s">
        <v>2673</v>
      </c>
      <c r="F157" s="985">
        <v>1</v>
      </c>
      <c r="G157" s="525"/>
      <c r="H157" s="986"/>
    </row>
  </sheetData>
  <sheetProtection algorithmName="SHA-512" hashValue="bGMzCc7kqsa4jJfry0Mf9bm9DdBnlvcuNa/MeM9InDWxhx810Rz8B2rgNh1BkQ9ZuLhLEf6c/pGwpH+lJ4r6lA==" saltValue="64amCeqM6RiJDXO/2lrSI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62B5-BDD0-4AA5-8732-08327AEAB529}">
  <sheetPr codeName="Hárok35"/>
  <dimension ref="A1:I64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2689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265"/>
      <c r="B6" s="237" t="s">
        <v>72</v>
      </c>
      <c r="C6" s="422"/>
      <c r="D6" s="422"/>
      <c r="E6" s="27" t="s">
        <v>73</v>
      </c>
      <c r="F6" s="311"/>
      <c r="G6" s="508"/>
      <c r="H6" s="531"/>
    </row>
    <row r="7" spans="1:9">
      <c r="A7" s="283"/>
      <c r="B7" s="126"/>
      <c r="C7" s="426"/>
      <c r="D7" s="126"/>
      <c r="E7" s="27"/>
      <c r="F7" s="538"/>
      <c r="G7" s="286"/>
      <c r="H7" s="539"/>
    </row>
    <row r="8" spans="1:9">
      <c r="A8" s="34">
        <f>MAX(A$1:A7)+1</f>
        <v>1</v>
      </c>
      <c r="B8" s="327"/>
      <c r="C8" s="36" t="s">
        <v>74</v>
      </c>
      <c r="D8" s="37"/>
      <c r="E8" s="38" t="s">
        <v>75</v>
      </c>
      <c r="F8" s="39"/>
      <c r="G8" s="40" t="s">
        <v>18</v>
      </c>
      <c r="H8" s="540">
        <v>0.62999999999999989</v>
      </c>
    </row>
    <row r="9" spans="1:9">
      <c r="A9" s="350"/>
      <c r="B9" s="329"/>
      <c r="C9" s="66"/>
      <c r="D9" s="67" t="s">
        <v>76</v>
      </c>
      <c r="E9" s="71" t="s">
        <v>77</v>
      </c>
      <c r="F9" s="61"/>
      <c r="G9" s="62" t="s">
        <v>18</v>
      </c>
      <c r="H9" s="541">
        <v>0.62999999999999989</v>
      </c>
      <c r="I9" s="942"/>
    </row>
    <row r="10" spans="1:9">
      <c r="A10" s="350"/>
      <c r="B10" s="329"/>
      <c r="C10" s="66"/>
      <c r="D10" s="67"/>
      <c r="E10" s="71"/>
      <c r="F10" s="212"/>
      <c r="G10" s="295"/>
      <c r="H10" s="541"/>
      <c r="I10" s="942"/>
    </row>
    <row r="11" spans="1:9">
      <c r="A11" s="34">
        <f>MAX(A$1:A10)+1</f>
        <v>2</v>
      </c>
      <c r="B11" s="327"/>
      <c r="C11" s="36" t="s">
        <v>158</v>
      </c>
      <c r="D11" s="37"/>
      <c r="E11" s="38" t="s">
        <v>159</v>
      </c>
      <c r="F11" s="264"/>
      <c r="G11" s="286" t="s">
        <v>18</v>
      </c>
      <c r="H11" s="540">
        <v>6.1</v>
      </c>
      <c r="I11" s="942"/>
    </row>
    <row r="12" spans="1:9">
      <c r="A12" s="320"/>
      <c r="B12" s="80"/>
      <c r="C12" s="66"/>
      <c r="D12" s="67" t="s">
        <v>160</v>
      </c>
      <c r="E12" s="71" t="s">
        <v>161</v>
      </c>
      <c r="F12" s="212"/>
      <c r="G12" s="295" t="s">
        <v>18</v>
      </c>
      <c r="H12" s="566">
        <v>6.1</v>
      </c>
      <c r="I12" s="942"/>
    </row>
    <row r="13" spans="1:9">
      <c r="A13" s="320"/>
      <c r="B13" s="80"/>
      <c r="C13" s="66"/>
      <c r="D13" s="67"/>
      <c r="E13" s="330" t="s">
        <v>2690</v>
      </c>
      <c r="F13" s="212">
        <f>2*0.3*0.45</f>
        <v>0.27</v>
      </c>
      <c r="G13" s="295"/>
      <c r="H13" s="542"/>
      <c r="I13" s="942"/>
    </row>
    <row r="14" spans="1:9">
      <c r="A14" s="320"/>
      <c r="B14" s="80"/>
      <c r="C14" s="66"/>
      <c r="D14" s="67"/>
      <c r="E14" s="330" t="s">
        <v>2691</v>
      </c>
      <c r="F14" s="213">
        <f>67*0.3*0.29</f>
        <v>5.8289999999999988</v>
      </c>
      <c r="G14" s="295"/>
      <c r="H14" s="542"/>
      <c r="I14" s="942"/>
    </row>
    <row r="15" spans="1:9">
      <c r="A15" s="320"/>
      <c r="B15" s="80"/>
      <c r="C15" s="66"/>
      <c r="D15" s="67"/>
      <c r="E15" s="330"/>
      <c r="F15" s="224">
        <f>SUM(F13:F14)</f>
        <v>6.0989999999999984</v>
      </c>
      <c r="G15" s="295"/>
      <c r="H15" s="542"/>
      <c r="I15" s="942"/>
    </row>
    <row r="16" spans="1:9">
      <c r="A16" s="320"/>
      <c r="B16" s="80"/>
      <c r="C16" s="66"/>
      <c r="D16" s="67"/>
      <c r="E16" s="330"/>
      <c r="F16" s="212"/>
      <c r="G16" s="295"/>
      <c r="H16" s="542"/>
      <c r="I16" s="942"/>
    </row>
    <row r="17" spans="1:9">
      <c r="A17" s="34">
        <f>MAX(A$1:A16)+1</f>
        <v>3</v>
      </c>
      <c r="B17" s="335"/>
      <c r="C17" s="435" t="s">
        <v>78</v>
      </c>
      <c r="D17" s="436"/>
      <c r="E17" s="437" t="s">
        <v>79</v>
      </c>
      <c r="F17" s="547"/>
      <c r="G17" s="511" t="s">
        <v>18</v>
      </c>
      <c r="H17" s="544">
        <v>6.73</v>
      </c>
      <c r="I17" s="942"/>
    </row>
    <row r="18" spans="1:9">
      <c r="A18" s="334"/>
      <c r="B18" s="429"/>
      <c r="C18" s="430"/>
      <c r="D18" s="431" t="s">
        <v>80</v>
      </c>
      <c r="E18" s="305" t="s">
        <v>81</v>
      </c>
      <c r="F18" s="548"/>
      <c r="G18" s="512" t="s">
        <v>18</v>
      </c>
      <c r="H18" s="545">
        <v>6.73</v>
      </c>
      <c r="I18" s="942"/>
    </row>
    <row r="19" spans="1:9">
      <c r="A19" s="438"/>
      <c r="B19" s="429"/>
      <c r="C19" s="430"/>
      <c r="D19" s="431"/>
      <c r="E19" s="549" t="s">
        <v>181</v>
      </c>
      <c r="F19" s="547">
        <f>SUM(H9+F15)</f>
        <v>6.7289999999999983</v>
      </c>
      <c r="G19" s="512"/>
      <c r="H19" s="535"/>
      <c r="I19" s="942"/>
    </row>
    <row r="20" spans="1:9">
      <c r="A20" s="438"/>
      <c r="B20" s="429"/>
      <c r="C20" s="430"/>
      <c r="D20" s="431"/>
      <c r="E20" s="549" t="s">
        <v>2692</v>
      </c>
      <c r="F20" s="547"/>
      <c r="G20" s="512"/>
      <c r="H20" s="535"/>
      <c r="I20" s="942"/>
    </row>
    <row r="21" spans="1:9">
      <c r="A21" s="293"/>
      <c r="B21" s="441"/>
      <c r="C21" s="442"/>
      <c r="D21" s="434"/>
      <c r="E21" s="549"/>
      <c r="F21" s="552"/>
      <c r="G21" s="513"/>
      <c r="H21" s="553"/>
      <c r="I21" s="942"/>
    </row>
    <row r="22" spans="1:9">
      <c r="A22" s="34">
        <f>MAX(A$1:A21)+1</f>
        <v>4</v>
      </c>
      <c r="B22" s="441"/>
      <c r="C22" s="36" t="s">
        <v>484</v>
      </c>
      <c r="D22" s="37"/>
      <c r="E22" s="38" t="s">
        <v>485</v>
      </c>
      <c r="F22" s="39"/>
      <c r="G22" s="40" t="s">
        <v>36</v>
      </c>
      <c r="H22" s="844">
        <v>13</v>
      </c>
    </row>
    <row r="23" spans="1:9" ht="25.5">
      <c r="A23" s="293"/>
      <c r="B23" s="441"/>
      <c r="C23" s="442"/>
      <c r="D23" s="67" t="s">
        <v>665</v>
      </c>
      <c r="E23" s="71" t="s">
        <v>487</v>
      </c>
      <c r="F23" s="61"/>
      <c r="G23" s="62" t="s">
        <v>36</v>
      </c>
      <c r="H23" s="553">
        <v>13</v>
      </c>
    </row>
    <row r="24" spans="1:9">
      <c r="A24" s="293"/>
      <c r="B24" s="441"/>
      <c r="C24" s="442"/>
      <c r="D24" s="434"/>
      <c r="E24" s="549" t="s">
        <v>2693</v>
      </c>
      <c r="F24" s="552">
        <v>13</v>
      </c>
      <c r="G24" s="513"/>
      <c r="H24" s="553"/>
    </row>
    <row r="25" spans="1:9">
      <c r="A25" s="34"/>
      <c r="B25" s="329"/>
      <c r="C25" s="36"/>
      <c r="D25" s="37"/>
      <c r="E25" s="38"/>
      <c r="F25" s="39"/>
      <c r="G25" s="40"/>
      <c r="H25" s="587"/>
    </row>
    <row r="26" spans="1:9">
      <c r="A26" s="72"/>
      <c r="B26" s="35" t="s">
        <v>2694</v>
      </c>
      <c r="C26" s="35"/>
      <c r="D26" s="94"/>
      <c r="E26" s="50" t="s">
        <v>2695</v>
      </c>
      <c r="F26" s="61"/>
      <c r="G26" s="62"/>
      <c r="H26" s="557"/>
    </row>
    <row r="27" spans="1:9">
      <c r="A27" s="72"/>
      <c r="B27" s="35"/>
      <c r="C27" s="35"/>
      <c r="D27" s="94"/>
      <c r="E27" s="50"/>
      <c r="F27" s="61"/>
      <c r="G27" s="62"/>
      <c r="H27" s="557"/>
    </row>
    <row r="28" spans="1:9" ht="25.5">
      <c r="A28" s="34">
        <f>MAX(A$1:A27)+1</f>
        <v>5</v>
      </c>
      <c r="B28" s="35"/>
      <c r="C28" s="195">
        <v>92020103</v>
      </c>
      <c r="D28" s="196"/>
      <c r="E28" s="38" t="s">
        <v>720</v>
      </c>
      <c r="F28" s="38"/>
      <c r="G28" s="40" t="s">
        <v>36</v>
      </c>
      <c r="H28" s="587">
        <v>300</v>
      </c>
    </row>
    <row r="29" spans="1:9" ht="25.5">
      <c r="A29" s="72"/>
      <c r="B29" s="35"/>
      <c r="C29" s="35"/>
      <c r="D29" s="199">
        <v>9202010305</v>
      </c>
      <c r="E29" s="71" t="s">
        <v>721</v>
      </c>
      <c r="F29" s="71"/>
      <c r="G29" s="62" t="s">
        <v>36</v>
      </c>
      <c r="H29" s="557">
        <v>300</v>
      </c>
    </row>
    <row r="30" spans="1:9" ht="25.5">
      <c r="A30" s="72"/>
      <c r="B30" s="35"/>
      <c r="C30" s="35"/>
      <c r="D30" s="94"/>
      <c r="E30" s="1237" t="s">
        <v>2696</v>
      </c>
      <c r="F30" s="46">
        <v>300</v>
      </c>
      <c r="G30" s="62"/>
      <c r="H30" s="557"/>
    </row>
    <row r="31" spans="1:9">
      <c r="A31" s="72"/>
      <c r="B31" s="329"/>
      <c r="C31" s="66"/>
      <c r="D31" s="67"/>
      <c r="E31" s="77"/>
      <c r="F31" s="46"/>
      <c r="G31" s="62"/>
      <c r="H31" s="557"/>
    </row>
    <row r="32" spans="1:9" ht="25.5">
      <c r="A32" s="34">
        <f>MAX(A$1:A31)+1</f>
        <v>6</v>
      </c>
      <c r="B32" s="329"/>
      <c r="C32" s="195">
        <v>92020107</v>
      </c>
      <c r="D32" s="196"/>
      <c r="E32" s="38" t="s">
        <v>2697</v>
      </c>
      <c r="F32" s="38"/>
      <c r="G32" s="40" t="s">
        <v>36</v>
      </c>
      <c r="H32" s="556">
        <v>3720</v>
      </c>
    </row>
    <row r="33" spans="1:8" ht="25.5">
      <c r="A33" s="72"/>
      <c r="B33" s="329"/>
      <c r="C33" s="35"/>
      <c r="D33" s="199">
        <v>9202010705</v>
      </c>
      <c r="E33" s="71" t="s">
        <v>2698</v>
      </c>
      <c r="F33" s="457"/>
      <c r="G33" s="62" t="s">
        <v>36</v>
      </c>
      <c r="H33" s="586">
        <v>3720</v>
      </c>
    </row>
    <row r="34" spans="1:8" ht="25.5">
      <c r="A34" s="72"/>
      <c r="B34" s="329"/>
      <c r="C34" s="66"/>
      <c r="D34" s="67"/>
      <c r="E34" s="77" t="s">
        <v>2699</v>
      </c>
      <c r="F34" s="90">
        <v>3720</v>
      </c>
      <c r="G34" s="62"/>
      <c r="H34" s="557"/>
    </row>
    <row r="35" spans="1:8">
      <c r="A35" s="72"/>
      <c r="B35" s="329"/>
      <c r="C35" s="66"/>
      <c r="D35" s="67"/>
      <c r="E35" s="77"/>
      <c r="F35" s="90"/>
      <c r="G35" s="62"/>
      <c r="H35" s="557"/>
    </row>
    <row r="36" spans="1:8" ht="25.5">
      <c r="A36" s="34">
        <f>MAX(A$1:A35)+1</f>
        <v>7</v>
      </c>
      <c r="B36" s="329"/>
      <c r="C36" s="195">
        <v>92020301</v>
      </c>
      <c r="D36" s="196"/>
      <c r="E36" s="38" t="s">
        <v>476</v>
      </c>
      <c r="F36" s="38"/>
      <c r="G36" s="40" t="s">
        <v>33</v>
      </c>
      <c r="H36" s="587">
        <v>1</v>
      </c>
    </row>
    <row r="37" spans="1:8" ht="25.5">
      <c r="A37" s="72"/>
      <c r="B37" s="329"/>
      <c r="C37" s="66"/>
      <c r="D37" s="199">
        <v>9202030101</v>
      </c>
      <c r="E37" s="71" t="s">
        <v>477</v>
      </c>
      <c r="F37" s="71"/>
      <c r="G37" s="62" t="s">
        <v>33</v>
      </c>
      <c r="H37" s="557">
        <v>1</v>
      </c>
    </row>
    <row r="38" spans="1:8" ht="25.5">
      <c r="A38" s="72"/>
      <c r="B38" s="329"/>
      <c r="C38" s="66"/>
      <c r="D38" s="67"/>
      <c r="E38" s="77" t="s">
        <v>2700</v>
      </c>
      <c r="F38" s="46">
        <v>1</v>
      </c>
      <c r="G38" s="62"/>
      <c r="H38" s="557"/>
    </row>
    <row r="39" spans="1:8">
      <c r="A39" s="72"/>
      <c r="B39" s="329"/>
      <c r="C39" s="66"/>
      <c r="D39" s="67"/>
      <c r="E39" s="77" t="s">
        <v>2701</v>
      </c>
      <c r="F39" s="46"/>
      <c r="G39" s="62"/>
      <c r="H39" s="557"/>
    </row>
    <row r="40" spans="1:8">
      <c r="A40" s="72"/>
      <c r="B40" s="329"/>
      <c r="C40" s="66"/>
      <c r="D40" s="67"/>
      <c r="E40" s="77"/>
      <c r="F40" s="90"/>
      <c r="G40" s="62"/>
      <c r="H40" s="557"/>
    </row>
    <row r="41" spans="1:8" ht="25.5">
      <c r="A41" s="34">
        <f>MAX(A$1:A40)+1</f>
        <v>8</v>
      </c>
      <c r="B41" s="329"/>
      <c r="C41" s="195">
        <v>92020401</v>
      </c>
      <c r="D41" s="196"/>
      <c r="E41" s="38" t="s">
        <v>2702</v>
      </c>
      <c r="F41" s="38"/>
      <c r="G41" s="40" t="s">
        <v>36</v>
      </c>
      <c r="H41" s="556">
        <v>3075</v>
      </c>
    </row>
    <row r="42" spans="1:8" ht="25.5">
      <c r="A42" s="290"/>
      <c r="B42" s="35"/>
      <c r="C42" s="198"/>
      <c r="D42" s="199">
        <v>9202040101</v>
      </c>
      <c r="E42" s="71" t="s">
        <v>2703</v>
      </c>
      <c r="F42" s="71"/>
      <c r="G42" s="62" t="s">
        <v>36</v>
      </c>
      <c r="H42" s="1238">
        <v>3055</v>
      </c>
    </row>
    <row r="43" spans="1:8" ht="38.25">
      <c r="A43" s="290"/>
      <c r="B43" s="328"/>
      <c r="C43" s="331"/>
      <c r="D43" s="332"/>
      <c r="E43" s="77" t="s">
        <v>2704</v>
      </c>
      <c r="F43" s="1239">
        <v>3010</v>
      </c>
      <c r="G43" s="333"/>
      <c r="H43" s="558"/>
    </row>
    <row r="44" spans="1:8">
      <c r="A44" s="290"/>
      <c r="B44" s="328"/>
      <c r="C44" s="331"/>
      <c r="D44" s="332"/>
      <c r="E44" s="77" t="s">
        <v>2705</v>
      </c>
      <c r="F44" s="1240">
        <v>45</v>
      </c>
      <c r="G44" s="333"/>
      <c r="H44" s="558"/>
    </row>
    <row r="45" spans="1:8">
      <c r="A45" s="290"/>
      <c r="B45" s="328"/>
      <c r="C45" s="331"/>
      <c r="D45" s="332"/>
      <c r="E45" s="77"/>
      <c r="F45" s="1241">
        <f>SUM(F43:F44)</f>
        <v>3055</v>
      </c>
      <c r="G45" s="333"/>
      <c r="H45" s="558"/>
    </row>
    <row r="46" spans="1:8">
      <c r="A46" s="290"/>
      <c r="B46" s="328"/>
      <c r="C46" s="331"/>
      <c r="D46" s="332"/>
      <c r="E46" s="77" t="s">
        <v>2706</v>
      </c>
      <c r="F46" s="454"/>
      <c r="G46" s="333"/>
      <c r="H46" s="558"/>
    </row>
    <row r="47" spans="1:8">
      <c r="A47" s="290"/>
      <c r="B47" s="328"/>
      <c r="C47" s="331"/>
      <c r="D47" s="332"/>
      <c r="E47" s="77" t="s">
        <v>2707</v>
      </c>
      <c r="F47" s="454"/>
      <c r="G47" s="333"/>
      <c r="H47" s="558"/>
    </row>
    <row r="48" spans="1:8">
      <c r="A48" s="290"/>
      <c r="B48" s="328"/>
      <c r="C48" s="331"/>
      <c r="D48" s="332"/>
      <c r="E48" s="77" t="s">
        <v>2708</v>
      </c>
      <c r="F48" s="454"/>
      <c r="G48" s="333"/>
      <c r="H48" s="558"/>
    </row>
    <row r="49" spans="1:8" ht="25.5">
      <c r="A49" s="290"/>
      <c r="B49" s="328"/>
      <c r="C49" s="331"/>
      <c r="D49" s="199">
        <v>9202040103</v>
      </c>
      <c r="E49" s="71" t="s">
        <v>2709</v>
      </c>
      <c r="F49" s="71"/>
      <c r="G49" s="62" t="s">
        <v>36</v>
      </c>
      <c r="H49" s="1242">
        <v>20</v>
      </c>
    </row>
    <row r="50" spans="1:8">
      <c r="A50" s="290"/>
      <c r="B50" s="328"/>
      <c r="C50" s="331"/>
      <c r="D50" s="332"/>
      <c r="E50" s="77" t="s">
        <v>2710</v>
      </c>
      <c r="F50" s="454">
        <v>20</v>
      </c>
      <c r="G50" s="333"/>
      <c r="H50" s="558"/>
    </row>
    <row r="51" spans="1:8">
      <c r="A51" s="34"/>
      <c r="B51" s="328"/>
      <c r="C51" s="36"/>
      <c r="D51" s="66"/>
      <c r="E51" s="77"/>
      <c r="F51" s="39"/>
      <c r="G51" s="40"/>
      <c r="H51" s="559"/>
    </row>
    <row r="52" spans="1:8" ht="25.5">
      <c r="A52" s="34">
        <f>MAX(A$1:A51)+1</f>
        <v>9</v>
      </c>
      <c r="B52" s="328"/>
      <c r="C52" s="195">
        <v>92022002</v>
      </c>
      <c r="D52" s="196"/>
      <c r="E52" s="38" t="s">
        <v>2711</v>
      </c>
      <c r="F52" s="38"/>
      <c r="G52" s="40" t="s">
        <v>33</v>
      </c>
      <c r="H52" s="559">
        <v>3</v>
      </c>
    </row>
    <row r="53" spans="1:8" ht="25.5">
      <c r="A53" s="334"/>
      <c r="B53" s="328"/>
      <c r="C53" s="117"/>
      <c r="D53" s="199">
        <v>9202200201</v>
      </c>
      <c r="E53" s="71" t="s">
        <v>2712</v>
      </c>
      <c r="F53" s="71"/>
      <c r="G53" s="62" t="s">
        <v>33</v>
      </c>
      <c r="H53" s="947">
        <v>3</v>
      </c>
    </row>
    <row r="54" spans="1:8" ht="25.5">
      <c r="A54" s="334"/>
      <c r="B54" s="328"/>
      <c r="C54" s="117"/>
      <c r="D54" s="191"/>
      <c r="E54" s="103" t="s">
        <v>2713</v>
      </c>
      <c r="F54" s="278">
        <v>3</v>
      </c>
      <c r="G54" s="32"/>
      <c r="H54" s="559"/>
    </row>
    <row r="55" spans="1:8">
      <c r="A55" s="334"/>
      <c r="B55" s="328"/>
      <c r="C55" s="117"/>
      <c r="D55" s="191"/>
      <c r="E55" s="193"/>
      <c r="F55" s="278"/>
      <c r="G55" s="32"/>
      <c r="H55" s="559"/>
    </row>
    <row r="56" spans="1:8" ht="25.5">
      <c r="A56" s="34">
        <f>MAX(A$1:A55)+1</f>
        <v>10</v>
      </c>
      <c r="B56" s="328"/>
      <c r="C56" s="195">
        <v>92022501</v>
      </c>
      <c r="D56" s="196"/>
      <c r="E56" s="38" t="s">
        <v>478</v>
      </c>
      <c r="F56" s="192"/>
      <c r="G56" s="40" t="s">
        <v>33</v>
      </c>
      <c r="H56" s="1243">
        <v>115</v>
      </c>
    </row>
    <row r="57" spans="1:8" ht="25.5">
      <c r="A57" s="290"/>
      <c r="B57" s="328"/>
      <c r="C57" s="37"/>
      <c r="D57" s="199">
        <v>9202250102</v>
      </c>
      <c r="E57" s="71" t="s">
        <v>479</v>
      </c>
      <c r="F57" s="278"/>
      <c r="G57" s="62" t="s">
        <v>33</v>
      </c>
      <c r="H57" s="560">
        <v>115</v>
      </c>
    </row>
    <row r="58" spans="1:8" ht="25.5">
      <c r="A58" s="290"/>
      <c r="B58" s="328"/>
      <c r="C58" s="37"/>
      <c r="D58" s="191"/>
      <c r="E58" s="103" t="s">
        <v>2714</v>
      </c>
      <c r="F58" s="278">
        <v>96</v>
      </c>
      <c r="G58" s="32"/>
      <c r="H58" s="561"/>
    </row>
    <row r="59" spans="1:8" ht="25.5">
      <c r="A59" s="290"/>
      <c r="B59" s="328"/>
      <c r="C59" s="37"/>
      <c r="D59" s="191"/>
      <c r="E59" s="103" t="s">
        <v>2715</v>
      </c>
      <c r="F59" s="278">
        <f>8*2</f>
        <v>16</v>
      </c>
      <c r="G59" s="32"/>
      <c r="H59" s="561"/>
    </row>
    <row r="60" spans="1:8">
      <c r="A60" s="290"/>
      <c r="B60" s="328"/>
      <c r="C60" s="37"/>
      <c r="D60" s="191"/>
      <c r="E60" s="103" t="s">
        <v>2716</v>
      </c>
      <c r="F60" s="272">
        <v>3</v>
      </c>
      <c r="G60" s="32"/>
      <c r="H60" s="561"/>
    </row>
    <row r="61" spans="1:8">
      <c r="A61" s="290"/>
      <c r="B61" s="328"/>
      <c r="C61" s="37"/>
      <c r="D61" s="191"/>
      <c r="E61" s="103"/>
      <c r="F61" s="278">
        <f>SUM(F58:F60)</f>
        <v>115</v>
      </c>
      <c r="G61" s="32"/>
      <c r="H61" s="561"/>
    </row>
    <row r="62" spans="1:8" ht="15.75" thickBot="1">
      <c r="A62" s="459"/>
      <c r="B62" s="460"/>
      <c r="C62" s="391"/>
      <c r="D62" s="461"/>
      <c r="E62" s="462"/>
      <c r="F62" s="524"/>
      <c r="G62" s="525"/>
      <c r="H62" s="574"/>
    </row>
    <row r="63" spans="1:8">
      <c r="A63" s="526"/>
      <c r="B63" s="527"/>
      <c r="C63" s="344"/>
      <c r="D63" s="519"/>
      <c r="E63" s="129"/>
      <c r="F63" s="131"/>
      <c r="G63" s="326"/>
      <c r="H63" s="528"/>
    </row>
    <row r="64" spans="1:8">
      <c r="A64" s="410"/>
      <c r="B64" s="410"/>
      <c r="C64" s="410"/>
      <c r="D64" s="410"/>
      <c r="E64" s="410"/>
      <c r="F64" s="498"/>
      <c r="G64" s="501"/>
      <c r="H64" s="500"/>
    </row>
  </sheetData>
  <sheetProtection algorithmName="SHA-512" hashValue="WRXzd67BtC50iB2bpGxvUBIGxM22ix1BxB4oujG2A9WId5ccle+6RLHpOdPlpzZor344mY1VGwfSqIcj4Rbbaw==" saltValue="Os+jNRWC8KiAimV5w0dbB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C34C-50FF-4459-AFEC-3FE8F2B00C7A}">
  <sheetPr codeName="Hárok36"/>
  <dimension ref="A1:I23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2718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72"/>
      <c r="B6" s="35" t="s">
        <v>2694</v>
      </c>
      <c r="C6" s="35"/>
      <c r="D6" s="94"/>
      <c r="E6" s="50" t="s">
        <v>2695</v>
      </c>
      <c r="F6" s="61"/>
      <c r="G6" s="62"/>
      <c r="H6" s="557"/>
    </row>
    <row r="7" spans="1:9">
      <c r="A7" s="72"/>
      <c r="B7" s="35"/>
      <c r="C7" s="35"/>
      <c r="D7" s="94"/>
      <c r="E7" s="50"/>
      <c r="F7" s="61"/>
      <c r="G7" s="62"/>
      <c r="H7" s="557"/>
    </row>
    <row r="8" spans="1:9" ht="25.5">
      <c r="A8" s="34">
        <f>MAX(A$1:A7)+1</f>
        <v>1</v>
      </c>
      <c r="B8" s="329"/>
      <c r="C8" s="195">
        <v>92020107</v>
      </c>
      <c r="D8" s="196"/>
      <c r="E8" s="38" t="s">
        <v>2697</v>
      </c>
      <c r="F8" s="38"/>
      <c r="G8" s="40" t="s">
        <v>36</v>
      </c>
      <c r="H8" s="556">
        <v>3110</v>
      </c>
    </row>
    <row r="9" spans="1:9" ht="25.5">
      <c r="A9" s="72"/>
      <c r="B9" s="329"/>
      <c r="C9" s="35"/>
      <c r="D9" s="199">
        <v>9202010705</v>
      </c>
      <c r="E9" s="71" t="s">
        <v>2698</v>
      </c>
      <c r="F9" s="457"/>
      <c r="G9" s="62" t="s">
        <v>36</v>
      </c>
      <c r="H9" s="586">
        <v>3110</v>
      </c>
      <c r="I9" s="942"/>
    </row>
    <row r="10" spans="1:9" ht="25.5">
      <c r="A10" s="72"/>
      <c r="B10" s="329"/>
      <c r="C10" s="66"/>
      <c r="D10" s="67"/>
      <c r="E10" s="77" t="s">
        <v>2699</v>
      </c>
      <c r="F10" s="90">
        <v>3110</v>
      </c>
      <c r="G10" s="62"/>
      <c r="H10" s="557"/>
      <c r="I10" s="942"/>
    </row>
    <row r="11" spans="1:9">
      <c r="A11" s="72"/>
      <c r="B11" s="329"/>
      <c r="C11" s="66"/>
      <c r="D11" s="66"/>
      <c r="E11" s="71"/>
      <c r="F11" s="61"/>
      <c r="G11" s="62"/>
      <c r="H11" s="557"/>
      <c r="I11" s="942"/>
    </row>
    <row r="12" spans="1:9" ht="25.5">
      <c r="A12" s="34">
        <f>MAX(A$1:A11)+1</f>
        <v>2</v>
      </c>
      <c r="B12" s="329"/>
      <c r="C12" s="195">
        <v>92020401</v>
      </c>
      <c r="D12" s="196"/>
      <c r="E12" s="38" t="s">
        <v>2702</v>
      </c>
      <c r="F12" s="38"/>
      <c r="G12" s="40" t="s">
        <v>36</v>
      </c>
      <c r="H12" s="556">
        <v>3010</v>
      </c>
      <c r="I12" s="942"/>
    </row>
    <row r="13" spans="1:9" ht="25.5">
      <c r="A13" s="290"/>
      <c r="B13" s="35"/>
      <c r="C13" s="198"/>
      <c r="D13" s="199">
        <v>9202040101</v>
      </c>
      <c r="E13" s="71" t="s">
        <v>2703</v>
      </c>
      <c r="F13" s="71"/>
      <c r="G13" s="62" t="s">
        <v>36</v>
      </c>
      <c r="H13" s="1238">
        <v>3010</v>
      </c>
      <c r="I13" s="942"/>
    </row>
    <row r="14" spans="1:9" ht="38.25">
      <c r="A14" s="290"/>
      <c r="B14" s="328"/>
      <c r="C14" s="331"/>
      <c r="D14" s="332"/>
      <c r="E14" s="77" t="s">
        <v>2719</v>
      </c>
      <c r="F14" s="1239">
        <v>3010</v>
      </c>
      <c r="G14" s="333"/>
      <c r="H14" s="558"/>
      <c r="I14" s="942"/>
    </row>
    <row r="15" spans="1:9">
      <c r="A15" s="290"/>
      <c r="B15" s="328"/>
      <c r="C15" s="331"/>
      <c r="D15" s="332"/>
      <c r="E15" s="77" t="s">
        <v>2707</v>
      </c>
      <c r="F15" s="454"/>
      <c r="G15" s="333"/>
      <c r="H15" s="558"/>
      <c r="I15" s="942"/>
    </row>
    <row r="16" spans="1:9">
      <c r="A16" s="290"/>
      <c r="B16" s="328"/>
      <c r="C16" s="331"/>
      <c r="D16" s="332"/>
      <c r="E16" s="77" t="s">
        <v>2708</v>
      </c>
      <c r="F16" s="454"/>
      <c r="G16" s="333"/>
      <c r="H16" s="558"/>
      <c r="I16" s="942"/>
    </row>
    <row r="17" spans="1:9">
      <c r="A17" s="334"/>
      <c r="B17" s="328"/>
      <c r="C17" s="117"/>
      <c r="D17" s="191"/>
      <c r="E17" s="193"/>
      <c r="F17" s="278"/>
      <c r="G17" s="32"/>
      <c r="H17" s="559"/>
      <c r="I17" s="942"/>
    </row>
    <row r="18" spans="1:9" ht="25.5">
      <c r="A18" s="34">
        <f>MAX(A$1:A17)+1</f>
        <v>3</v>
      </c>
      <c r="B18" s="328"/>
      <c r="C18" s="195">
        <v>92022501</v>
      </c>
      <c r="D18" s="196"/>
      <c r="E18" s="38" t="s">
        <v>478</v>
      </c>
      <c r="F18" s="192"/>
      <c r="G18" s="40" t="s">
        <v>33</v>
      </c>
      <c r="H18" s="1243">
        <v>32</v>
      </c>
      <c r="I18" s="942"/>
    </row>
    <row r="19" spans="1:9" ht="25.5">
      <c r="A19" s="290"/>
      <c r="B19" s="328"/>
      <c r="C19" s="37"/>
      <c r="D19" s="199">
        <v>9202250102</v>
      </c>
      <c r="E19" s="71" t="s">
        <v>479</v>
      </c>
      <c r="F19" s="278"/>
      <c r="G19" s="62" t="s">
        <v>33</v>
      </c>
      <c r="H19" s="560">
        <v>32</v>
      </c>
      <c r="I19" s="942"/>
    </row>
    <row r="20" spans="1:9" ht="25.5">
      <c r="A20" s="290"/>
      <c r="B20" s="328"/>
      <c r="C20" s="37"/>
      <c r="D20" s="191"/>
      <c r="E20" s="103" t="s">
        <v>2720</v>
      </c>
      <c r="F20" s="278">
        <f>2*8*2</f>
        <v>32</v>
      </c>
      <c r="G20" s="32"/>
      <c r="H20" s="561"/>
      <c r="I20" s="942"/>
    </row>
    <row r="21" spans="1:9" ht="15.75" thickBot="1">
      <c r="A21" s="459"/>
      <c r="B21" s="460"/>
      <c r="C21" s="391"/>
      <c r="D21" s="461"/>
      <c r="E21" s="462"/>
      <c r="F21" s="524"/>
      <c r="G21" s="525"/>
      <c r="H21" s="574"/>
    </row>
    <row r="22" spans="1:9">
      <c r="A22" s="526"/>
      <c r="B22" s="527"/>
      <c r="C22" s="344"/>
      <c r="D22" s="519"/>
      <c r="E22" s="129"/>
      <c r="F22" s="131"/>
      <c r="G22" s="326"/>
      <c r="H22" s="528"/>
    </row>
    <row r="23" spans="1:9">
      <c r="A23" s="410"/>
      <c r="B23" s="410"/>
      <c r="C23" s="410"/>
      <c r="D23" s="410"/>
      <c r="E23" s="410"/>
      <c r="F23" s="498"/>
      <c r="G23" s="501"/>
      <c r="H23" s="500"/>
    </row>
  </sheetData>
  <sheetProtection algorithmName="SHA-512" hashValue="T4aavDRHf/GtvgIEFXkAOAwNImTojDQhpRE6l0ZU+Pd6r99m6bTpr690W01Iy+g/c/jZ3sWWD5VmQGG8NVM+vQ==" saltValue="3zvXdHZaX2nBctOF9rAIH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88D34-5047-41BA-82E9-6C58FE84F132}">
  <sheetPr codeName="Hárok37"/>
  <dimension ref="A1:Q184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2722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1.9699999999999989</v>
      </c>
    </row>
    <row r="9" spans="1:8">
      <c r="A9" s="47"/>
      <c r="B9" s="24"/>
      <c r="C9" s="25"/>
      <c r="D9" s="26"/>
      <c r="E9" s="27"/>
      <c r="F9" s="144">
        <f>F52</f>
        <v>1.9699999999999989</v>
      </c>
      <c r="G9" s="114"/>
      <c r="H9" s="42"/>
    </row>
    <row r="10" spans="1:8" customFormat="1" ht="15">
      <c r="A10" s="47"/>
      <c r="B10" s="24"/>
      <c r="C10" s="25"/>
      <c r="D10" s="26"/>
      <c r="E10" s="27"/>
      <c r="F10" s="27"/>
      <c r="G10" s="114"/>
      <c r="H10" s="42"/>
    </row>
    <row r="11" spans="1:8" customFormat="1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 customFormat="1" ht="15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 customFormat="1" ht="15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4</v>
      </c>
    </row>
    <row r="15" spans="1:8" customFormat="1" ht="15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2</v>
      </c>
    </row>
    <row r="16" spans="1:8" customFormat="1" ht="15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2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2729</v>
      </c>
      <c r="D18" s="1244"/>
      <c r="E18" s="1245" t="s">
        <v>2730</v>
      </c>
      <c r="F18" s="1246"/>
      <c r="G18" s="31" t="s">
        <v>33</v>
      </c>
      <c r="H18" s="64">
        <v>1</v>
      </c>
    </row>
    <row r="19" spans="1:8" customFormat="1" ht="25.5">
      <c r="A19" s="34"/>
      <c r="B19" s="125"/>
      <c r="C19" s="125"/>
      <c r="D19" s="601"/>
      <c r="E19" s="168" t="s">
        <v>2731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 customFormat="1" ht="12.75" customHeight="1">
      <c r="A22" s="34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16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8</v>
      </c>
    </row>
    <row r="25" spans="1:8" customFormat="1" ht="15">
      <c r="A25" s="145"/>
      <c r="B25" s="43"/>
      <c r="C25" s="36"/>
      <c r="D25" s="37"/>
      <c r="E25" s="168" t="s">
        <v>2732</v>
      </c>
      <c r="F25" s="603">
        <v>8</v>
      </c>
      <c r="G25" s="130"/>
      <c r="H25" s="64"/>
    </row>
    <row r="26" spans="1:8" customFormat="1" ht="38.25">
      <c r="A26" s="145"/>
      <c r="B26" s="73"/>
      <c r="C26" s="66"/>
      <c r="D26" s="67" t="s">
        <v>491</v>
      </c>
      <c r="E26" s="71" t="s">
        <v>492</v>
      </c>
      <c r="F26" s="61"/>
      <c r="G26" s="62" t="s">
        <v>33</v>
      </c>
      <c r="H26" s="83">
        <v>8</v>
      </c>
    </row>
    <row r="27" spans="1:8" customFormat="1" ht="15">
      <c r="A27" s="145"/>
      <c r="B27" s="125"/>
      <c r="C27" s="125"/>
      <c r="D27" s="601"/>
      <c r="E27" s="168" t="s">
        <v>1131</v>
      </c>
      <c r="F27" s="603">
        <v>3</v>
      </c>
      <c r="G27" s="32"/>
      <c r="H27" s="83"/>
    </row>
    <row r="28" spans="1:8" customFormat="1" ht="15">
      <c r="A28" s="145"/>
      <c r="B28" s="125"/>
      <c r="C28" s="125"/>
      <c r="D28" s="601"/>
      <c r="E28" s="168" t="s">
        <v>2733</v>
      </c>
      <c r="F28" s="603">
        <v>2</v>
      </c>
      <c r="G28" s="32"/>
      <c r="H28" s="83"/>
    </row>
    <row r="29" spans="1:8" customFormat="1" ht="15">
      <c r="A29" s="145"/>
      <c r="B29" s="125"/>
      <c r="C29" s="125"/>
      <c r="D29" s="601"/>
      <c r="E29" s="168" t="s">
        <v>2734</v>
      </c>
      <c r="F29" s="603">
        <v>2</v>
      </c>
      <c r="G29" s="32"/>
      <c r="H29" s="83"/>
    </row>
    <row r="30" spans="1:8" customFormat="1" ht="15">
      <c r="A30" s="145"/>
      <c r="B30" s="125"/>
      <c r="C30" s="125"/>
      <c r="D30" s="601"/>
      <c r="E30" s="168" t="s">
        <v>2735</v>
      </c>
      <c r="F30" s="705">
        <v>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1130</v>
      </c>
      <c r="F31" s="706">
        <f>SUM(F27:F30)</f>
        <v>8</v>
      </c>
      <c r="G31" s="32"/>
      <c r="H31" s="83"/>
    </row>
    <row r="32" spans="1:8" customFormat="1" ht="15">
      <c r="A32" s="145"/>
      <c r="B32" s="125"/>
      <c r="C32" s="125"/>
      <c r="D32" s="601"/>
      <c r="E32" s="168"/>
      <c r="F32" s="603"/>
      <c r="G32" s="32"/>
      <c r="H32" s="83"/>
    </row>
    <row r="33" spans="1:8" customFormat="1" ht="15">
      <c r="A33" s="34">
        <f>MAX(A$1:A32)+1</f>
        <v>6</v>
      </c>
      <c r="B33" s="125"/>
      <c r="C33" s="36" t="s">
        <v>37</v>
      </c>
      <c r="D33" s="37"/>
      <c r="E33" s="38" t="s">
        <v>38</v>
      </c>
      <c r="F33" s="39"/>
      <c r="G33" s="40" t="s">
        <v>15</v>
      </c>
      <c r="H33" s="64">
        <v>0.1</v>
      </c>
    </row>
    <row r="34" spans="1:8" customFormat="1" ht="15">
      <c r="A34" s="145"/>
      <c r="B34" s="125"/>
      <c r="C34" s="31"/>
      <c r="D34" s="67" t="s">
        <v>39</v>
      </c>
      <c r="E34" s="71" t="s">
        <v>40</v>
      </c>
      <c r="F34" s="61"/>
      <c r="G34" s="62" t="s">
        <v>15</v>
      </c>
      <c r="H34" s="83">
        <v>0.1</v>
      </c>
    </row>
    <row r="35" spans="1:8" customFormat="1" ht="15">
      <c r="A35" s="145"/>
      <c r="B35" s="125"/>
      <c r="C35" s="31"/>
      <c r="D35" s="32"/>
      <c r="E35" s="168" t="s">
        <v>2736</v>
      </c>
      <c r="F35" s="170">
        <v>0.1</v>
      </c>
      <c r="G35" s="29"/>
      <c r="H35" s="30"/>
    </row>
    <row r="36" spans="1:8" customFormat="1" ht="15">
      <c r="A36" s="145"/>
      <c r="B36" s="125"/>
      <c r="C36" s="125"/>
      <c r="D36" s="601"/>
      <c r="E36" s="168"/>
      <c r="F36" s="603"/>
      <c r="G36" s="32"/>
      <c r="H36" s="83"/>
    </row>
    <row r="37" spans="1:8" customFormat="1" ht="15">
      <c r="A37" s="95"/>
      <c r="B37" s="35" t="s">
        <v>72</v>
      </c>
      <c r="C37" s="93"/>
      <c r="D37" s="94"/>
      <c r="E37" s="50" t="s">
        <v>73</v>
      </c>
      <c r="F37" s="100"/>
      <c r="G37" s="101"/>
      <c r="H37" s="83"/>
    </row>
    <row r="38" spans="1:8" customFormat="1" ht="15">
      <c r="A38" s="34"/>
      <c r="B38" s="125"/>
      <c r="C38" s="125"/>
      <c r="D38" s="601"/>
      <c r="E38" s="168"/>
      <c r="F38" s="603"/>
      <c r="G38" s="32"/>
      <c r="H38" s="83"/>
    </row>
    <row r="39" spans="1:8" customFormat="1" ht="15">
      <c r="A39" s="34">
        <f>MAX(A$1:A38)+1</f>
        <v>7</v>
      </c>
      <c r="B39" s="125"/>
      <c r="C39" s="36" t="s">
        <v>74</v>
      </c>
      <c r="D39" s="37"/>
      <c r="E39" s="38" t="s">
        <v>75</v>
      </c>
      <c r="F39" s="39"/>
      <c r="G39" s="40" t="s">
        <v>18</v>
      </c>
      <c r="H39" s="64">
        <v>0.41</v>
      </c>
    </row>
    <row r="40" spans="1:8" customFormat="1" ht="15">
      <c r="A40" s="34"/>
      <c r="B40" s="125"/>
      <c r="C40" s="125"/>
      <c r="D40" s="67" t="s">
        <v>76</v>
      </c>
      <c r="E40" s="71" t="s">
        <v>77</v>
      </c>
      <c r="F40" s="61"/>
      <c r="G40" s="62" t="s">
        <v>18</v>
      </c>
      <c r="H40" s="83">
        <v>0.41</v>
      </c>
    </row>
    <row r="41" spans="1:8" customFormat="1" ht="12.75" customHeight="1">
      <c r="A41" s="34"/>
      <c r="B41" s="125"/>
      <c r="C41" s="125"/>
      <c r="D41" s="601"/>
      <c r="E41" s="168" t="s">
        <v>2737</v>
      </c>
      <c r="F41" s="603">
        <f>1.5*0.55*0.5</f>
        <v>0.41250000000000003</v>
      </c>
      <c r="G41" s="32"/>
      <c r="H41" s="83"/>
    </row>
    <row r="42" spans="1:8" customFormat="1" ht="15">
      <c r="A42" s="34"/>
      <c r="B42" s="125"/>
      <c r="C42" s="125"/>
      <c r="D42" s="601"/>
      <c r="E42" s="168"/>
      <c r="F42" s="603"/>
      <c r="G42" s="32"/>
      <c r="H42" s="83"/>
    </row>
    <row r="43" spans="1:8" customFormat="1" ht="15">
      <c r="A43" s="34">
        <f>MAX(A$1:A42)+1</f>
        <v>8</v>
      </c>
      <c r="B43" s="31"/>
      <c r="C43" s="36" t="s">
        <v>158</v>
      </c>
      <c r="D43" s="37"/>
      <c r="E43" s="38" t="s">
        <v>159</v>
      </c>
      <c r="F43" s="39"/>
      <c r="G43" s="40" t="s">
        <v>18</v>
      </c>
      <c r="H43" s="64">
        <v>20.399999999999999</v>
      </c>
    </row>
    <row r="44" spans="1:8" customFormat="1" ht="15">
      <c r="A44" s="34"/>
      <c r="B44" s="31"/>
      <c r="C44" s="31"/>
      <c r="D44" s="67" t="s">
        <v>160</v>
      </c>
      <c r="E44" s="71" t="s">
        <v>161</v>
      </c>
      <c r="F44" s="61"/>
      <c r="G44" s="62" t="s">
        <v>18</v>
      </c>
      <c r="H44" s="83">
        <v>20.399999999999999</v>
      </c>
    </row>
    <row r="45" spans="1:8" customFormat="1" ht="15">
      <c r="A45" s="34"/>
      <c r="B45" s="31"/>
      <c r="C45" s="31"/>
      <c r="D45" s="67"/>
      <c r="E45" s="168" t="s">
        <v>2738</v>
      </c>
      <c r="F45" s="170">
        <f>13*0.35*0.19</f>
        <v>0.86449999999999994</v>
      </c>
      <c r="G45" s="62"/>
      <c r="H45" s="83"/>
    </row>
    <row r="46" spans="1:8" customFormat="1" ht="15">
      <c r="A46" s="34"/>
      <c r="B46" s="31"/>
      <c r="C46" s="31"/>
      <c r="D46" s="67"/>
      <c r="E46" s="168" t="s">
        <v>2739</v>
      </c>
      <c r="F46" s="170">
        <f>71*0.35*0.65</f>
        <v>16.1525</v>
      </c>
      <c r="G46" s="62"/>
      <c r="H46" s="83"/>
    </row>
    <row r="47" spans="1:8" customFormat="1" ht="12.75" customHeight="1">
      <c r="A47" s="34"/>
      <c r="B47" s="31"/>
      <c r="C47" s="31"/>
      <c r="D47" s="32"/>
      <c r="E47" s="168" t="s">
        <v>2740</v>
      </c>
      <c r="F47" s="180">
        <f>8*0.65*0.65</f>
        <v>3.3800000000000003</v>
      </c>
      <c r="G47" s="29"/>
      <c r="H47" s="83"/>
    </row>
    <row r="48" spans="1:8">
      <c r="A48" s="34"/>
      <c r="B48" s="31"/>
      <c r="C48" s="31"/>
      <c r="D48" s="32"/>
      <c r="E48" s="168" t="s">
        <v>1130</v>
      </c>
      <c r="F48" s="706">
        <f>SUM(F45:F47)</f>
        <v>20.396999999999998</v>
      </c>
      <c r="G48" s="29"/>
      <c r="H48" s="83"/>
    </row>
    <row r="49" spans="1:10">
      <c r="A49" s="34"/>
      <c r="B49" s="125"/>
      <c r="C49" s="125"/>
      <c r="D49" s="601"/>
      <c r="E49" s="168"/>
      <c r="F49" s="603"/>
      <c r="G49" s="32"/>
      <c r="H49" s="83"/>
    </row>
    <row r="50" spans="1:10">
      <c r="A50" s="34">
        <f>MAX(A$1:A49)+1</f>
        <v>9</v>
      </c>
      <c r="B50" s="31"/>
      <c r="C50" s="36" t="s">
        <v>58</v>
      </c>
      <c r="D50" s="248"/>
      <c r="E50" s="38" t="s">
        <v>59</v>
      </c>
      <c r="F50" s="78"/>
      <c r="G50" s="40" t="s">
        <v>18</v>
      </c>
      <c r="H50" s="64">
        <v>1.9699999999999989</v>
      </c>
    </row>
    <row r="51" spans="1:10">
      <c r="A51" s="34"/>
      <c r="B51" s="31"/>
      <c r="C51" s="66"/>
      <c r="D51" s="242" t="s">
        <v>60</v>
      </c>
      <c r="E51" s="71" t="s">
        <v>61</v>
      </c>
      <c r="F51" s="28"/>
      <c r="G51" s="62" t="s">
        <v>18</v>
      </c>
      <c r="H51" s="83">
        <v>1.9699999999999989</v>
      </c>
    </row>
    <row r="52" spans="1:10">
      <c r="A52" s="34"/>
      <c r="B52" s="31"/>
      <c r="C52" s="66"/>
      <c r="D52" s="242"/>
      <c r="E52" s="157" t="s">
        <v>2741</v>
      </c>
      <c r="F52" s="144">
        <f>F67</f>
        <v>1.9699999999999989</v>
      </c>
      <c r="G52" s="62"/>
      <c r="H52" s="83"/>
    </row>
    <row r="53" spans="1:10">
      <c r="A53" s="34"/>
      <c r="B53" s="31"/>
      <c r="C53" s="66"/>
      <c r="D53" s="242"/>
      <c r="E53" s="157"/>
      <c r="F53" s="144"/>
      <c r="G53" s="62"/>
      <c r="H53" s="83"/>
    </row>
    <row r="54" spans="1:10">
      <c r="A54" s="34">
        <f>MAX(A$1:A53)+1</f>
        <v>10</v>
      </c>
      <c r="B54" s="31"/>
      <c r="C54" s="36" t="s">
        <v>78</v>
      </c>
      <c r="D54" s="37"/>
      <c r="E54" s="38" t="s">
        <v>79</v>
      </c>
      <c r="F54" s="39"/>
      <c r="G54" s="40" t="s">
        <v>18</v>
      </c>
      <c r="H54" s="64">
        <v>15.9</v>
      </c>
    </row>
    <row r="55" spans="1:10">
      <c r="A55" s="34"/>
      <c r="B55" s="31"/>
      <c r="C55" s="31"/>
      <c r="D55" s="67" t="s">
        <v>80</v>
      </c>
      <c r="E55" s="71" t="s">
        <v>81</v>
      </c>
      <c r="F55" s="61"/>
      <c r="G55" s="62" t="s">
        <v>18</v>
      </c>
      <c r="H55" s="83">
        <v>15.9</v>
      </c>
    </row>
    <row r="56" spans="1:10">
      <c r="A56" s="34"/>
      <c r="B56" s="31"/>
      <c r="C56" s="31"/>
      <c r="D56" s="32"/>
      <c r="E56" s="168" t="s">
        <v>2742</v>
      </c>
      <c r="F56" s="170">
        <f>13*0.35*0.09</f>
        <v>0.40949999999999998</v>
      </c>
      <c r="G56" s="29"/>
      <c r="H56" s="83"/>
    </row>
    <row r="57" spans="1:10">
      <c r="A57" s="34"/>
      <c r="B57" s="31"/>
      <c r="C57" s="31"/>
      <c r="D57" s="32"/>
      <c r="E57" s="168" t="s">
        <v>2743</v>
      </c>
      <c r="F57" s="170">
        <f>71*0.35*0.55</f>
        <v>13.6675</v>
      </c>
      <c r="G57" s="29"/>
      <c r="H57" s="83"/>
    </row>
    <row r="58" spans="1:10">
      <c r="A58" s="34"/>
      <c r="B58" s="31"/>
      <c r="C58" s="31"/>
      <c r="D58" s="32"/>
      <c r="E58" s="168" t="s">
        <v>2744</v>
      </c>
      <c r="F58" s="180">
        <f>8*0.65*0.35</f>
        <v>1.8199999999999998</v>
      </c>
      <c r="G58" s="29"/>
      <c r="H58" s="83"/>
      <c r="J58" s="1249"/>
    </row>
    <row r="59" spans="1:10" s="98" customFormat="1" ht="15">
      <c r="A59" s="34"/>
      <c r="B59" s="31"/>
      <c r="C59" s="31"/>
      <c r="D59" s="32"/>
      <c r="E59" s="168" t="s">
        <v>1130</v>
      </c>
      <c r="F59" s="706">
        <f>SUM(F56:F58)</f>
        <v>15.897</v>
      </c>
      <c r="G59" s="29"/>
      <c r="H59" s="83"/>
      <c r="I59"/>
      <c r="J59" s="222"/>
    </row>
    <row r="60" spans="1:10" s="98" customFormat="1" ht="15">
      <c r="A60" s="34"/>
      <c r="B60" s="31"/>
      <c r="C60" s="66"/>
      <c r="D60" s="242"/>
      <c r="E60" s="157"/>
      <c r="F60" s="144"/>
      <c r="G60" s="62"/>
      <c r="H60" s="83"/>
      <c r="I60"/>
    </row>
    <row r="61" spans="1:10" s="98" customFormat="1" ht="15">
      <c r="A61" s="34">
        <f>MAX(A$1:A60)+1</f>
        <v>11</v>
      </c>
      <c r="B61" s="31"/>
      <c r="C61" s="36" t="s">
        <v>472</v>
      </c>
      <c r="D61" s="248"/>
      <c r="E61" s="38" t="s">
        <v>473</v>
      </c>
      <c r="F61" s="78"/>
      <c r="G61" s="40" t="s">
        <v>18</v>
      </c>
      <c r="H61" s="64">
        <v>2.94</v>
      </c>
      <c r="I61"/>
    </row>
    <row r="62" spans="1:10" s="98" customFormat="1" ht="15">
      <c r="A62" s="34"/>
      <c r="B62" s="31"/>
      <c r="C62" s="66"/>
      <c r="D62" s="67" t="s">
        <v>2745</v>
      </c>
      <c r="E62" s="71" t="s">
        <v>2746</v>
      </c>
      <c r="F62" s="61"/>
      <c r="G62" s="62" t="s">
        <v>18</v>
      </c>
      <c r="H62" s="83">
        <v>2.94</v>
      </c>
      <c r="I62"/>
    </row>
    <row r="63" spans="1:10" s="98" customFormat="1" ht="15">
      <c r="A63" s="34"/>
      <c r="B63" s="31"/>
      <c r="C63" s="66"/>
      <c r="D63" s="242"/>
      <c r="E63" s="157" t="s">
        <v>2747</v>
      </c>
      <c r="F63" s="144">
        <f>(13+71)*0.35*0.1</f>
        <v>2.94</v>
      </c>
      <c r="G63" s="62"/>
      <c r="H63" s="83"/>
      <c r="I63"/>
    </row>
    <row r="64" spans="1:10" s="98" customFormat="1" ht="15">
      <c r="A64" s="34"/>
      <c r="B64" s="31"/>
      <c r="C64" s="31"/>
      <c r="D64" s="32"/>
      <c r="E64" s="168"/>
      <c r="F64" s="603"/>
      <c r="G64" s="29"/>
      <c r="H64" s="83"/>
      <c r="I64"/>
    </row>
    <row r="65" spans="1:10" s="98" customFormat="1" ht="15">
      <c r="A65" s="34">
        <f>MAX(A$1:A64)+1</f>
        <v>12</v>
      </c>
      <c r="B65" s="43"/>
      <c r="C65" s="36" t="s">
        <v>50</v>
      </c>
      <c r="D65" s="37"/>
      <c r="E65" s="38" t="s">
        <v>51</v>
      </c>
      <c r="F65" s="39"/>
      <c r="G65" s="40" t="s">
        <v>18</v>
      </c>
      <c r="H65" s="64">
        <v>1.9699999999999989</v>
      </c>
      <c r="I65"/>
    </row>
    <row r="66" spans="1:10" s="98" customFormat="1" ht="25.5">
      <c r="A66" s="34"/>
      <c r="B66" s="73"/>
      <c r="C66" s="66"/>
      <c r="D66" s="67" t="s">
        <v>138</v>
      </c>
      <c r="E66" s="71" t="s">
        <v>139</v>
      </c>
      <c r="F66" s="61"/>
      <c r="G66" s="62" t="s">
        <v>18</v>
      </c>
      <c r="H66" s="83">
        <v>1.9699999999999989</v>
      </c>
      <c r="I66"/>
    </row>
    <row r="67" spans="1:10" customFormat="1" ht="25.5">
      <c r="A67" s="34"/>
      <c r="B67" s="31"/>
      <c r="C67" s="31"/>
      <c r="D67" s="32"/>
      <c r="E67" s="168" t="s">
        <v>2748</v>
      </c>
      <c r="F67" s="170">
        <f>(0.41+20.4)-(15.9+2.94)</f>
        <v>1.9699999999999989</v>
      </c>
      <c r="G67" s="29"/>
      <c r="H67" s="83"/>
    </row>
    <row r="68" spans="1:10" customFormat="1" ht="15">
      <c r="A68" s="34"/>
      <c r="B68" s="31"/>
      <c r="C68" s="31"/>
      <c r="D68" s="32"/>
      <c r="E68" s="168"/>
      <c r="F68" s="172"/>
      <c r="G68" s="29"/>
      <c r="H68" s="83"/>
    </row>
    <row r="69" spans="1:10" customFormat="1" ht="15">
      <c r="A69" s="34"/>
      <c r="B69" s="35" t="s">
        <v>2749</v>
      </c>
      <c r="C69" s="35"/>
      <c r="D69" s="94"/>
      <c r="E69" s="50" t="s">
        <v>2750</v>
      </c>
      <c r="F69" s="28"/>
      <c r="G69" s="29"/>
      <c r="H69" s="83"/>
    </row>
    <row r="70" spans="1:10" customFormat="1" ht="15">
      <c r="A70" s="34"/>
      <c r="B70" s="31"/>
      <c r="C70" s="31"/>
      <c r="D70" s="32"/>
      <c r="E70" s="33"/>
      <c r="F70" s="28"/>
      <c r="G70" s="29"/>
      <c r="H70" s="83"/>
    </row>
    <row r="71" spans="1:10" customFormat="1" ht="15">
      <c r="A71" s="34">
        <f>MAX(A$1:A70)+1</f>
        <v>13</v>
      </c>
      <c r="B71" s="31"/>
      <c r="C71" s="36" t="s">
        <v>418</v>
      </c>
      <c r="D71" s="37"/>
      <c r="E71" s="38" t="s">
        <v>419</v>
      </c>
      <c r="F71" s="39"/>
      <c r="G71" s="40" t="s">
        <v>18</v>
      </c>
      <c r="H71" s="64">
        <v>0.41</v>
      </c>
    </row>
    <row r="72" spans="1:10" customFormat="1" ht="15">
      <c r="A72" s="34"/>
      <c r="B72" s="31"/>
      <c r="C72" s="31"/>
      <c r="D72" s="191" t="s">
        <v>2751</v>
      </c>
      <c r="E72" s="193" t="s">
        <v>2752</v>
      </c>
      <c r="F72" s="192"/>
      <c r="G72" s="32" t="s">
        <v>18</v>
      </c>
      <c r="H72" s="83">
        <v>0.41</v>
      </c>
      <c r="J72" s="120"/>
    </row>
    <row r="73" spans="1:10" customFormat="1" ht="15">
      <c r="A73" s="34"/>
      <c r="B73" s="31"/>
      <c r="C73" s="31"/>
      <c r="D73" s="191"/>
      <c r="E73" s="168" t="s">
        <v>2753</v>
      </c>
      <c r="F73" s="603">
        <f>1.5*0.55*0.5</f>
        <v>0.41250000000000003</v>
      </c>
      <c r="G73" s="32"/>
      <c r="H73" s="83"/>
    </row>
    <row r="74" spans="1:10" customFormat="1" ht="15">
      <c r="A74" s="34"/>
      <c r="B74" s="31"/>
      <c r="C74" s="31"/>
      <c r="D74" s="32"/>
      <c r="E74" s="33"/>
      <c r="F74" s="28"/>
      <c r="G74" s="29"/>
      <c r="H74" s="83"/>
    </row>
    <row r="75" spans="1:10" customFormat="1" ht="15">
      <c r="A75" s="34">
        <f>MAX(A$1:A74)+1</f>
        <v>14</v>
      </c>
      <c r="B75" s="31"/>
      <c r="C75" s="36" t="s">
        <v>2754</v>
      </c>
      <c r="D75" s="37"/>
      <c r="E75" s="38" t="s">
        <v>2755</v>
      </c>
      <c r="F75" s="39"/>
      <c r="G75" s="40" t="s">
        <v>21</v>
      </c>
      <c r="H75" s="64">
        <v>0.75</v>
      </c>
    </row>
    <row r="76" spans="1:10" customFormat="1" ht="15">
      <c r="A76" s="34"/>
      <c r="B76" s="31"/>
      <c r="C76" s="31"/>
      <c r="D76" s="67" t="s">
        <v>2756</v>
      </c>
      <c r="E76" s="71" t="s">
        <v>2757</v>
      </c>
      <c r="F76" s="61"/>
      <c r="G76" s="62" t="s">
        <v>21</v>
      </c>
      <c r="H76" s="83">
        <v>0.75</v>
      </c>
    </row>
    <row r="77" spans="1:10" customFormat="1" ht="15">
      <c r="A77" s="34"/>
      <c r="B77" s="31"/>
      <c r="C77" s="31"/>
      <c r="D77" s="67"/>
      <c r="E77" s="168" t="s">
        <v>2758</v>
      </c>
      <c r="F77" s="603">
        <f>1.5*0.5</f>
        <v>0.75</v>
      </c>
      <c r="G77" s="62"/>
      <c r="H77" s="83"/>
    </row>
    <row r="78" spans="1:10" customFormat="1" ht="15">
      <c r="A78" s="34"/>
      <c r="B78" s="31"/>
      <c r="C78" s="31"/>
      <c r="D78" s="67"/>
      <c r="E78" s="168"/>
      <c r="F78" s="172"/>
      <c r="G78" s="62"/>
      <c r="H78" s="83"/>
    </row>
    <row r="79" spans="1:10" customFormat="1" ht="25.5">
      <c r="A79" s="34"/>
      <c r="B79" s="35" t="s">
        <v>270</v>
      </c>
      <c r="C79" s="35"/>
      <c r="D79" s="94"/>
      <c r="E79" s="50" t="s">
        <v>271</v>
      </c>
      <c r="F79" s="28"/>
      <c r="G79" s="29"/>
      <c r="H79" s="30"/>
    </row>
    <row r="80" spans="1:10" customFormat="1" ht="15">
      <c r="A80" s="34"/>
      <c r="B80" s="31"/>
      <c r="C80" s="31"/>
      <c r="D80" s="32"/>
      <c r="E80" s="33"/>
      <c r="F80" s="28"/>
      <c r="G80" s="29"/>
      <c r="H80" s="30"/>
    </row>
    <row r="81" spans="1:13" customFormat="1" ht="25.5">
      <c r="A81" s="34">
        <f>MAX(A$1:A80)+1</f>
        <v>15</v>
      </c>
      <c r="B81" s="31"/>
      <c r="C81" s="36" t="s">
        <v>2759</v>
      </c>
      <c r="D81" s="37"/>
      <c r="E81" s="38" t="s">
        <v>2760</v>
      </c>
      <c r="F81" s="39"/>
      <c r="G81" s="40" t="s">
        <v>18</v>
      </c>
      <c r="H81" s="64">
        <v>1.37</v>
      </c>
    </row>
    <row r="82" spans="1:13" customFormat="1" ht="25.5">
      <c r="A82" s="34"/>
      <c r="B82" s="31"/>
      <c r="C82" s="31"/>
      <c r="D82" s="191" t="s">
        <v>2761</v>
      </c>
      <c r="E82" s="193" t="s">
        <v>2762</v>
      </c>
      <c r="F82" s="192"/>
      <c r="G82" s="62" t="s">
        <v>18</v>
      </c>
      <c r="H82" s="83">
        <v>1.37</v>
      </c>
      <c r="M82" s="489"/>
    </row>
    <row r="83" spans="1:13" customFormat="1" ht="25.5">
      <c r="A83" s="34"/>
      <c r="B83" s="31"/>
      <c r="C83" s="31"/>
      <c r="D83" s="32"/>
      <c r="E83" s="168" t="s">
        <v>2763</v>
      </c>
      <c r="F83" s="170">
        <f>(8*0.65*0.3)-((3.14*(0.05*0.05)*8)*3)</f>
        <v>1.3715999999999999</v>
      </c>
      <c r="G83" s="29"/>
      <c r="H83" s="30"/>
    </row>
    <row r="84" spans="1:13" customFormat="1" ht="15">
      <c r="A84" s="34"/>
      <c r="B84" s="31"/>
      <c r="C84" s="31"/>
      <c r="D84" s="32"/>
      <c r="E84" s="33"/>
      <c r="F84" s="28"/>
      <c r="G84" s="29"/>
      <c r="H84" s="30"/>
    </row>
    <row r="85" spans="1:13" customFormat="1" ht="25.5">
      <c r="A85" s="34">
        <f>MAX(A$1:A84)+1</f>
        <v>16</v>
      </c>
      <c r="B85" s="31"/>
      <c r="C85" s="36" t="s">
        <v>576</v>
      </c>
      <c r="D85" s="37"/>
      <c r="E85" s="38" t="s">
        <v>577</v>
      </c>
      <c r="F85" s="39"/>
      <c r="G85" s="40" t="s">
        <v>36</v>
      </c>
      <c r="H85" s="64">
        <v>85</v>
      </c>
    </row>
    <row r="86" spans="1:13" customFormat="1" ht="25.5">
      <c r="A86" s="34"/>
      <c r="B86" s="31"/>
      <c r="C86" s="31"/>
      <c r="D86" s="67" t="s">
        <v>754</v>
      </c>
      <c r="E86" s="71" t="s">
        <v>755</v>
      </c>
      <c r="F86" s="61"/>
      <c r="G86" s="62" t="s">
        <v>36</v>
      </c>
      <c r="H86" s="83">
        <v>85</v>
      </c>
    </row>
    <row r="87" spans="1:13" customFormat="1" ht="15">
      <c r="A87" s="34"/>
      <c r="B87" s="31"/>
      <c r="C87" s="31"/>
      <c r="D87" s="32"/>
      <c r="E87" s="168" t="s">
        <v>2764</v>
      </c>
      <c r="F87" s="170">
        <v>61</v>
      </c>
      <c r="G87" s="29"/>
      <c r="H87" s="30"/>
    </row>
    <row r="88" spans="1:13" customFormat="1" ht="15">
      <c r="A88" s="34"/>
      <c r="B88" s="31"/>
      <c r="C88" s="31"/>
      <c r="D88" s="32"/>
      <c r="E88" s="168" t="s">
        <v>2765</v>
      </c>
      <c r="F88" s="180">
        <f>8*3</f>
        <v>24</v>
      </c>
      <c r="G88" s="29"/>
      <c r="H88" s="30"/>
    </row>
    <row r="89" spans="1:13" customFormat="1" ht="15">
      <c r="A89" s="34"/>
      <c r="B89" s="31"/>
      <c r="C89" s="31"/>
      <c r="D89" s="32"/>
      <c r="E89" s="168" t="s">
        <v>2766</v>
      </c>
      <c r="F89" s="170">
        <f>SUM(F87:F88)</f>
        <v>85</v>
      </c>
      <c r="G89" s="29"/>
      <c r="H89" s="30"/>
    </row>
    <row r="90" spans="1:13" customFormat="1" ht="15">
      <c r="A90" s="34"/>
      <c r="B90" s="31"/>
      <c r="C90" s="31"/>
      <c r="D90" s="67"/>
      <c r="E90" s="168"/>
      <c r="F90" s="172"/>
      <c r="G90" s="62"/>
      <c r="H90" s="83"/>
    </row>
    <row r="91" spans="1:13" customFormat="1" ht="15">
      <c r="A91" s="95"/>
      <c r="B91" s="35" t="s">
        <v>621</v>
      </c>
      <c r="C91" s="35"/>
      <c r="D91" s="94"/>
      <c r="E91" s="50" t="s">
        <v>622</v>
      </c>
      <c r="F91" s="100"/>
      <c r="G91" s="97"/>
      <c r="H91" s="42"/>
    </row>
    <row r="92" spans="1:13" customFormat="1" ht="15">
      <c r="A92" s="34"/>
      <c r="B92" s="125"/>
      <c r="C92" s="125"/>
      <c r="D92" s="601"/>
      <c r="E92" s="168"/>
      <c r="F92" s="603"/>
      <c r="G92" s="32"/>
      <c r="H92" s="83"/>
    </row>
    <row r="93" spans="1:13" customFormat="1" ht="25.5">
      <c r="A93" s="34">
        <f>MAX(A$1:A92)+1</f>
        <v>17</v>
      </c>
      <c r="B93" s="43"/>
      <c r="C93" s="195">
        <v>92020102</v>
      </c>
      <c r="D93" s="196"/>
      <c r="E93" s="38" t="s">
        <v>756</v>
      </c>
      <c r="F93" s="39"/>
      <c r="G93" s="40" t="s">
        <v>36</v>
      </c>
      <c r="H93" s="64">
        <v>122</v>
      </c>
    </row>
    <row r="94" spans="1:13" customFormat="1" ht="25.5">
      <c r="A94" s="34"/>
      <c r="B94" s="73"/>
      <c r="C94" s="198"/>
      <c r="D94" s="199">
        <v>9202010205</v>
      </c>
      <c r="E94" s="71" t="s">
        <v>757</v>
      </c>
      <c r="F94" s="61"/>
      <c r="G94" s="62" t="s">
        <v>36</v>
      </c>
      <c r="H94" s="83">
        <v>122</v>
      </c>
    </row>
    <row r="95" spans="1:13" customFormat="1" ht="12" customHeight="1">
      <c r="A95" s="34"/>
      <c r="B95" s="125"/>
      <c r="C95" s="125"/>
      <c r="D95" s="601"/>
      <c r="E95" s="168" t="s">
        <v>2767</v>
      </c>
      <c r="F95" s="603">
        <v>122</v>
      </c>
      <c r="G95" s="32"/>
      <c r="H95" s="83"/>
    </row>
    <row r="96" spans="1:13" customFormat="1" ht="15">
      <c r="A96" s="34"/>
      <c r="B96" s="125"/>
      <c r="C96" s="125"/>
      <c r="D96" s="601"/>
      <c r="E96" s="168"/>
      <c r="F96" s="603"/>
      <c r="G96" s="32"/>
      <c r="H96" s="83"/>
    </row>
    <row r="97" spans="1:13" customFormat="1" ht="25.5">
      <c r="A97" s="34">
        <f>MAX(A$1:A96)+1</f>
        <v>18</v>
      </c>
      <c r="B97" s="43"/>
      <c r="C97" s="195">
        <v>92020105</v>
      </c>
      <c r="D97" s="196"/>
      <c r="E97" s="38" t="s">
        <v>2768</v>
      </c>
      <c r="F97" s="39"/>
      <c r="G97" s="40" t="s">
        <v>36</v>
      </c>
      <c r="H97" s="64">
        <v>10</v>
      </c>
    </row>
    <row r="98" spans="1:13" customFormat="1" ht="25.5">
      <c r="A98" s="34"/>
      <c r="B98" s="73"/>
      <c r="C98" s="198"/>
      <c r="D98" s="199">
        <v>9202010513</v>
      </c>
      <c r="E98" s="71" t="s">
        <v>2769</v>
      </c>
      <c r="F98" s="61"/>
      <c r="G98" s="62" t="s">
        <v>36</v>
      </c>
      <c r="H98" s="83">
        <v>10</v>
      </c>
    </row>
    <row r="99" spans="1:13" customFormat="1" ht="15">
      <c r="A99" s="34"/>
      <c r="B99" s="125"/>
      <c r="C99" s="125"/>
      <c r="D99" s="601"/>
      <c r="E99" s="168" t="s">
        <v>1385</v>
      </c>
      <c r="F99" s="603">
        <v>10</v>
      </c>
      <c r="G99" s="32"/>
      <c r="H99" s="83"/>
    </row>
    <row r="100" spans="1:13" customFormat="1" ht="15">
      <c r="A100" s="34"/>
      <c r="B100" s="125"/>
      <c r="C100" s="125"/>
      <c r="D100" s="601"/>
      <c r="E100" s="168"/>
      <c r="F100" s="603"/>
      <c r="G100" s="32"/>
      <c r="H100" s="83"/>
    </row>
    <row r="101" spans="1:13" customFormat="1" ht="15" customHeight="1">
      <c r="A101" s="34">
        <f>MAX(A$1:A100)+1</f>
        <v>19</v>
      </c>
      <c r="B101" s="43"/>
      <c r="C101" s="195">
        <v>92020107</v>
      </c>
      <c r="D101" s="196"/>
      <c r="E101" s="38" t="s">
        <v>2697</v>
      </c>
      <c r="F101" s="39"/>
      <c r="G101" s="40" t="s">
        <v>36</v>
      </c>
      <c r="H101" s="64">
        <v>3008</v>
      </c>
    </row>
    <row r="102" spans="1:13" customFormat="1" ht="25.5">
      <c r="A102" s="34"/>
      <c r="B102" s="73"/>
      <c r="C102" s="198"/>
      <c r="D102" s="199">
        <v>9202010705</v>
      </c>
      <c r="E102" s="71" t="s">
        <v>2698</v>
      </c>
      <c r="F102" s="61"/>
      <c r="G102" s="62" t="s">
        <v>36</v>
      </c>
      <c r="H102" s="83">
        <v>3008</v>
      </c>
    </row>
    <row r="103" spans="1:13" customFormat="1" ht="15">
      <c r="A103" s="34"/>
      <c r="B103" s="73"/>
      <c r="C103" s="198"/>
      <c r="D103" s="199"/>
      <c r="E103" s="168" t="s">
        <v>2770</v>
      </c>
      <c r="F103" s="603">
        <v>139</v>
      </c>
      <c r="G103" s="62"/>
      <c r="H103" s="83"/>
    </row>
    <row r="104" spans="1:13" customFormat="1" ht="15">
      <c r="A104" s="34"/>
      <c r="B104" s="125"/>
      <c r="C104" s="125"/>
      <c r="D104" s="601"/>
      <c r="E104" s="168" t="s">
        <v>2771</v>
      </c>
      <c r="F104" s="603">
        <v>404</v>
      </c>
      <c r="G104" s="32"/>
      <c r="H104" s="83"/>
    </row>
    <row r="105" spans="1:13" customFormat="1" ht="15">
      <c r="A105" s="34"/>
      <c r="B105" s="125"/>
      <c r="C105" s="125"/>
      <c r="D105" s="601"/>
      <c r="E105" s="168" t="s">
        <v>2772</v>
      </c>
      <c r="F105" s="603">
        <v>25</v>
      </c>
      <c r="G105" s="32"/>
      <c r="H105" s="83"/>
    </row>
    <row r="106" spans="1:13" customFormat="1" ht="15">
      <c r="A106" s="34"/>
      <c r="B106" s="125"/>
      <c r="C106" s="125"/>
      <c r="D106" s="601"/>
      <c r="E106" s="168" t="s">
        <v>2773</v>
      </c>
      <c r="F106" s="705">
        <v>2440</v>
      </c>
      <c r="G106" s="32"/>
      <c r="H106" s="83"/>
    </row>
    <row r="107" spans="1:13" customFormat="1" ht="12.75" customHeight="1">
      <c r="A107" s="34"/>
      <c r="B107" s="125"/>
      <c r="C107" s="125"/>
      <c r="D107" s="601"/>
      <c r="E107" s="168" t="s">
        <v>1130</v>
      </c>
      <c r="F107" s="706">
        <f>SUM(F103:F106)</f>
        <v>3008</v>
      </c>
      <c r="G107" s="32"/>
      <c r="H107" s="83"/>
    </row>
    <row r="108" spans="1:13" customFormat="1" ht="12.75" customHeight="1">
      <c r="A108" s="34"/>
      <c r="B108" s="125"/>
      <c r="C108" s="125"/>
      <c r="D108" s="601"/>
      <c r="E108" s="168"/>
      <c r="F108" s="603"/>
      <c r="G108" s="32"/>
      <c r="H108" s="83"/>
    </row>
    <row r="109" spans="1:13" customFormat="1" ht="12.75" customHeight="1">
      <c r="A109" s="34">
        <f>MAX(A$1:A108)+1</f>
        <v>20</v>
      </c>
      <c r="B109" s="43"/>
      <c r="C109" s="195">
        <v>92020201</v>
      </c>
      <c r="D109" s="196"/>
      <c r="E109" s="38" t="s">
        <v>2774</v>
      </c>
      <c r="F109" s="39"/>
      <c r="G109" s="40" t="s">
        <v>33</v>
      </c>
      <c r="H109" s="64">
        <v>1</v>
      </c>
    </row>
    <row r="110" spans="1:13" customFormat="1" ht="12.75" customHeight="1">
      <c r="A110" s="34"/>
      <c r="B110" s="125"/>
      <c r="C110" s="125"/>
      <c r="D110" s="199">
        <v>9202020103</v>
      </c>
      <c r="E110" s="71" t="s">
        <v>2775</v>
      </c>
      <c r="F110" s="61"/>
      <c r="G110" s="62" t="s">
        <v>33</v>
      </c>
      <c r="H110" s="83">
        <v>1</v>
      </c>
    </row>
    <row r="111" spans="1:13" customFormat="1" ht="12.75" customHeight="1">
      <c r="A111" s="34"/>
      <c r="B111" s="125"/>
      <c r="C111" s="125"/>
      <c r="D111" s="601"/>
      <c r="E111" s="168" t="s">
        <v>2776</v>
      </c>
      <c r="F111" s="603">
        <v>1</v>
      </c>
      <c r="G111" s="32"/>
      <c r="H111" s="83"/>
    </row>
    <row r="112" spans="1:13" customFormat="1" ht="12.75" customHeight="1">
      <c r="A112" s="34"/>
      <c r="B112" s="125"/>
      <c r="C112" s="125"/>
      <c r="D112" s="601"/>
      <c r="E112" s="168"/>
      <c r="F112" s="603"/>
      <c r="G112" s="32"/>
      <c r="H112" s="83"/>
      <c r="M112" s="489"/>
    </row>
    <row r="113" spans="1:17" ht="25.5">
      <c r="A113" s="34">
        <f>MAX(A$1:A112)+1</f>
        <v>21</v>
      </c>
      <c r="B113" s="125"/>
      <c r="C113" s="195">
        <v>92020203</v>
      </c>
      <c r="D113" s="196"/>
      <c r="E113" s="38" t="s">
        <v>2777</v>
      </c>
      <c r="F113" s="39"/>
      <c r="G113" s="40" t="s">
        <v>33</v>
      </c>
      <c r="H113" s="64">
        <v>3</v>
      </c>
    </row>
    <row r="114" spans="1:17" s="450" customFormat="1" ht="25.5">
      <c r="A114" s="34"/>
      <c r="B114" s="125"/>
      <c r="C114" s="125"/>
      <c r="D114" s="199">
        <v>9202020303</v>
      </c>
      <c r="E114" s="71" t="s">
        <v>2778</v>
      </c>
      <c r="F114" s="61"/>
      <c r="G114" s="62" t="s">
        <v>33</v>
      </c>
      <c r="H114" s="83">
        <v>3</v>
      </c>
    </row>
    <row r="115" spans="1:17" s="450" customFormat="1">
      <c r="A115" s="34"/>
      <c r="B115" s="125"/>
      <c r="C115" s="125"/>
      <c r="D115" s="601"/>
      <c r="E115" s="168" t="s">
        <v>2779</v>
      </c>
      <c r="F115" s="603">
        <v>2</v>
      </c>
      <c r="G115" s="32"/>
      <c r="H115" s="83"/>
    </row>
    <row r="116" spans="1:17">
      <c r="A116" s="34"/>
      <c r="B116" s="125"/>
      <c r="C116" s="125"/>
      <c r="D116" s="601"/>
      <c r="E116" s="168" t="s">
        <v>2780</v>
      </c>
      <c r="F116" s="705">
        <v>1</v>
      </c>
      <c r="G116" s="32"/>
      <c r="H116" s="83"/>
      <c r="K116" s="450"/>
      <c r="L116" s="450"/>
      <c r="M116" s="450"/>
    </row>
    <row r="117" spans="1:17">
      <c r="A117" s="34"/>
      <c r="B117" s="125"/>
      <c r="C117" s="125"/>
      <c r="D117" s="601"/>
      <c r="E117" s="168" t="s">
        <v>1130</v>
      </c>
      <c r="F117" s="706">
        <f>SUM(F113:F116)</f>
        <v>3</v>
      </c>
      <c r="G117" s="32"/>
      <c r="H117" s="83"/>
      <c r="K117" s="450"/>
      <c r="L117" s="450"/>
      <c r="M117" s="450"/>
    </row>
    <row r="118" spans="1:17">
      <c r="A118" s="34"/>
      <c r="B118" s="125"/>
      <c r="C118" s="125"/>
      <c r="D118" s="601"/>
      <c r="E118" s="168"/>
      <c r="F118" s="603"/>
      <c r="G118" s="32"/>
      <c r="H118" s="83"/>
      <c r="K118" s="450"/>
      <c r="L118" s="450"/>
      <c r="M118" s="450"/>
    </row>
    <row r="119" spans="1:17" ht="25.5">
      <c r="A119" s="34">
        <f>MAX(A$1:A118)+1</f>
        <v>22</v>
      </c>
      <c r="B119" s="43"/>
      <c r="C119" s="195">
        <v>92020301</v>
      </c>
      <c r="D119" s="196"/>
      <c r="E119" s="38" t="s">
        <v>476</v>
      </c>
      <c r="F119" s="39"/>
      <c r="G119" s="40" t="s">
        <v>33</v>
      </c>
      <c r="H119" s="64">
        <v>8</v>
      </c>
      <c r="K119" s="450"/>
      <c r="L119" s="450"/>
      <c r="M119" s="450"/>
    </row>
    <row r="120" spans="1:17" customFormat="1" ht="25.5">
      <c r="A120" s="34"/>
      <c r="B120" s="73"/>
      <c r="C120" s="198"/>
      <c r="D120" s="199">
        <v>9202030101</v>
      </c>
      <c r="E120" s="71" t="s">
        <v>477</v>
      </c>
      <c r="F120" s="61"/>
      <c r="G120" s="62" t="s">
        <v>33</v>
      </c>
      <c r="H120" s="83">
        <v>4</v>
      </c>
      <c r="J120" s="410"/>
      <c r="K120" s="450"/>
      <c r="L120" s="450"/>
      <c r="M120" s="450"/>
    </row>
    <row r="121" spans="1:17" customFormat="1" ht="15">
      <c r="A121" s="34"/>
      <c r="B121" s="125"/>
      <c r="C121" s="125"/>
      <c r="D121" s="601"/>
      <c r="E121" s="168" t="s">
        <v>2767</v>
      </c>
      <c r="F121" s="603">
        <v>4</v>
      </c>
      <c r="G121" s="32"/>
      <c r="H121" s="83"/>
      <c r="M121" s="950"/>
    </row>
    <row r="122" spans="1:17" customFormat="1" ht="15">
      <c r="A122" s="34"/>
      <c r="B122" s="125"/>
      <c r="C122" s="125"/>
      <c r="D122" s="601"/>
      <c r="E122" s="168" t="s">
        <v>2781</v>
      </c>
      <c r="F122" s="705">
        <v>2</v>
      </c>
      <c r="G122" s="32"/>
      <c r="H122" s="83"/>
    </row>
    <row r="123" spans="1:17">
      <c r="A123" s="34"/>
      <c r="B123" s="125"/>
      <c r="C123" s="125"/>
      <c r="D123" s="601"/>
      <c r="E123" s="168" t="s">
        <v>1130</v>
      </c>
      <c r="F123" s="706">
        <f>SUM(F119:F122)</f>
        <v>6</v>
      </c>
      <c r="G123" s="32"/>
      <c r="H123" s="83"/>
    </row>
    <row r="124" spans="1:17" s="450" customFormat="1" ht="25.5">
      <c r="A124" s="34"/>
      <c r="B124" s="73"/>
      <c r="C124" s="198"/>
      <c r="D124" s="199">
        <v>9202030102</v>
      </c>
      <c r="E124" s="71" t="s">
        <v>490</v>
      </c>
      <c r="F124" s="61"/>
      <c r="G124" s="62" t="s">
        <v>33</v>
      </c>
      <c r="H124" s="83">
        <v>2</v>
      </c>
      <c r="K124" s="410"/>
    </row>
    <row r="125" spans="1:17" s="450" customFormat="1">
      <c r="A125" s="34"/>
      <c r="B125" s="125"/>
      <c r="C125" s="125"/>
      <c r="D125" s="601"/>
      <c r="E125" s="168" t="s">
        <v>1385</v>
      </c>
      <c r="F125" s="603">
        <v>2</v>
      </c>
      <c r="G125" s="32"/>
      <c r="H125" s="83"/>
      <c r="K125" s="950"/>
      <c r="Q125" s="951"/>
    </row>
    <row r="126" spans="1:17" s="450" customFormat="1" ht="25.5">
      <c r="A126" s="34"/>
      <c r="B126" s="73"/>
      <c r="C126" s="198"/>
      <c r="D126" s="199">
        <v>9202030103</v>
      </c>
      <c r="E126" s="71" t="s">
        <v>2782</v>
      </c>
      <c r="F126" s="61"/>
      <c r="G126" s="62" t="s">
        <v>33</v>
      </c>
      <c r="H126" s="83">
        <v>2</v>
      </c>
    </row>
    <row r="127" spans="1:17" s="450" customFormat="1">
      <c r="A127" s="34"/>
      <c r="B127" s="125"/>
      <c r="C127" s="125"/>
      <c r="D127" s="601"/>
      <c r="E127" s="168" t="s">
        <v>2770</v>
      </c>
      <c r="F127" s="603">
        <v>2</v>
      </c>
      <c r="G127" s="32"/>
      <c r="H127" s="83"/>
    </row>
    <row r="128" spans="1:17" s="450" customFormat="1">
      <c r="A128" s="34"/>
      <c r="B128" s="125"/>
      <c r="C128" s="125"/>
      <c r="D128" s="601"/>
      <c r="E128" s="168" t="s">
        <v>2771</v>
      </c>
      <c r="F128" s="603">
        <v>4</v>
      </c>
      <c r="G128" s="32"/>
      <c r="H128" s="83"/>
    </row>
    <row r="129" spans="1:8" s="450" customFormat="1">
      <c r="A129" s="34"/>
      <c r="B129" s="125"/>
      <c r="C129" s="125"/>
      <c r="D129" s="601"/>
      <c r="E129" s="168" t="s">
        <v>2772</v>
      </c>
      <c r="F129" s="603">
        <v>2</v>
      </c>
      <c r="G129" s="32"/>
      <c r="H129" s="83"/>
    </row>
    <row r="130" spans="1:8" s="450" customFormat="1">
      <c r="A130" s="34"/>
      <c r="B130" s="125"/>
      <c r="C130" s="125"/>
      <c r="D130" s="601"/>
      <c r="E130" s="168" t="s">
        <v>2773</v>
      </c>
      <c r="F130" s="705">
        <v>4</v>
      </c>
      <c r="G130" s="32"/>
      <c r="H130" s="83"/>
    </row>
    <row r="131" spans="1:8" s="450" customFormat="1">
      <c r="A131" s="34"/>
      <c r="B131" s="125"/>
      <c r="C131" s="125"/>
      <c r="D131" s="601"/>
      <c r="E131" s="168" t="s">
        <v>1130</v>
      </c>
      <c r="F131" s="706">
        <f>SUM(F127:F130)</f>
        <v>12</v>
      </c>
      <c r="G131" s="32"/>
      <c r="H131" s="83"/>
    </row>
    <row r="132" spans="1:8" s="450" customFormat="1">
      <c r="A132" s="34"/>
      <c r="B132" s="125"/>
      <c r="C132" s="125"/>
      <c r="D132" s="601"/>
      <c r="E132" s="168"/>
      <c r="F132" s="603"/>
      <c r="G132" s="32"/>
      <c r="H132" s="83"/>
    </row>
    <row r="133" spans="1:8" s="450" customFormat="1" ht="25.5">
      <c r="A133" s="34">
        <f>MAX(A$1:A132)+1</f>
        <v>23</v>
      </c>
      <c r="B133" s="43"/>
      <c r="C133" s="195">
        <v>92020401</v>
      </c>
      <c r="D133" s="196"/>
      <c r="E133" s="38" t="s">
        <v>2702</v>
      </c>
      <c r="F133" s="39"/>
      <c r="G133" s="40" t="s">
        <v>36</v>
      </c>
      <c r="H133" s="64">
        <v>5410</v>
      </c>
    </row>
    <row r="134" spans="1:8" s="450" customFormat="1" ht="25.5">
      <c r="A134" s="34"/>
      <c r="B134" s="73"/>
      <c r="C134" s="198"/>
      <c r="D134" s="199">
        <v>9202040101</v>
      </c>
      <c r="E134" s="71" t="s">
        <v>2703</v>
      </c>
      <c r="F134" s="61"/>
      <c r="G134" s="62" t="s">
        <v>36</v>
      </c>
      <c r="H134" s="83">
        <v>5410</v>
      </c>
    </row>
    <row r="135" spans="1:8" s="450" customFormat="1">
      <c r="A135" s="34"/>
      <c r="B135" s="125"/>
      <c r="C135" s="125"/>
      <c r="D135" s="601"/>
      <c r="E135" s="168" t="s">
        <v>2783</v>
      </c>
      <c r="F135" s="603">
        <v>5410</v>
      </c>
      <c r="G135" s="32"/>
      <c r="H135" s="83"/>
    </row>
    <row r="136" spans="1:8" s="450" customFormat="1">
      <c r="A136" s="34"/>
      <c r="B136" s="125"/>
      <c r="C136" s="125"/>
      <c r="D136" s="601"/>
      <c r="E136" s="168"/>
      <c r="F136" s="603"/>
      <c r="G136" s="32"/>
      <c r="H136" s="83"/>
    </row>
    <row r="137" spans="1:8" s="450" customFormat="1" ht="25.5">
      <c r="A137" s="34">
        <f>MAX(A$1:A136)+1</f>
        <v>24</v>
      </c>
      <c r="B137" s="43"/>
      <c r="C137" s="195">
        <v>92020702</v>
      </c>
      <c r="D137" s="196"/>
      <c r="E137" s="38" t="s">
        <v>718</v>
      </c>
      <c r="F137" s="39"/>
      <c r="G137" s="40" t="s">
        <v>33</v>
      </c>
      <c r="H137" s="64">
        <v>13</v>
      </c>
    </row>
    <row r="138" spans="1:8" s="450" customFormat="1" ht="25.5">
      <c r="A138" s="34"/>
      <c r="B138" s="73"/>
      <c r="C138" s="198"/>
      <c r="D138" s="199">
        <v>9202070202</v>
      </c>
      <c r="E138" s="71" t="s">
        <v>719</v>
      </c>
      <c r="F138" s="61"/>
      <c r="G138" s="62" t="s">
        <v>33</v>
      </c>
      <c r="H138" s="83">
        <v>13</v>
      </c>
    </row>
    <row r="139" spans="1:8" s="450" customFormat="1">
      <c r="A139" s="34"/>
      <c r="B139" s="125"/>
      <c r="C139" s="125"/>
      <c r="D139" s="601"/>
      <c r="E139" s="168" t="s">
        <v>1386</v>
      </c>
      <c r="F139" s="603">
        <v>13</v>
      </c>
      <c r="G139" s="32"/>
      <c r="H139" s="83"/>
    </row>
    <row r="140" spans="1:8" s="450" customFormat="1">
      <c r="A140" s="34"/>
      <c r="B140" s="125"/>
      <c r="C140" s="125"/>
      <c r="D140" s="601"/>
      <c r="E140" s="168"/>
      <c r="F140" s="603"/>
      <c r="G140" s="32"/>
      <c r="H140" s="83"/>
    </row>
    <row r="141" spans="1:8" s="450" customFormat="1" ht="25.5">
      <c r="A141" s="34">
        <f>MAX(A$1:A140)+1</f>
        <v>25</v>
      </c>
      <c r="B141" s="43"/>
      <c r="C141" s="195">
        <v>92022501</v>
      </c>
      <c r="D141" s="196"/>
      <c r="E141" s="38" t="s">
        <v>478</v>
      </c>
      <c r="F141" s="39"/>
      <c r="G141" s="40" t="s">
        <v>33</v>
      </c>
      <c r="H141" s="64">
        <v>48</v>
      </c>
    </row>
    <row r="142" spans="1:8" s="450" customFormat="1" ht="25.5">
      <c r="A142" s="34"/>
      <c r="B142" s="73"/>
      <c r="C142" s="198"/>
      <c r="D142" s="199">
        <v>9202250101</v>
      </c>
      <c r="E142" s="71" t="s">
        <v>758</v>
      </c>
      <c r="F142" s="61"/>
      <c r="G142" s="62" t="s">
        <v>33</v>
      </c>
      <c r="H142" s="83">
        <v>8</v>
      </c>
    </row>
    <row r="143" spans="1:8" s="450" customFormat="1" ht="12.75" customHeight="1">
      <c r="A143" s="34"/>
      <c r="B143" s="73"/>
      <c r="C143" s="198"/>
      <c r="D143" s="199"/>
      <c r="E143" s="168" t="s">
        <v>2767</v>
      </c>
      <c r="F143" s="603">
        <v>1</v>
      </c>
      <c r="G143" s="62"/>
      <c r="H143" s="83"/>
    </row>
    <row r="144" spans="1:8" s="450" customFormat="1" ht="12.75" customHeight="1">
      <c r="A144" s="34"/>
      <c r="B144" s="73"/>
      <c r="C144" s="198"/>
      <c r="D144" s="199"/>
      <c r="E144" s="168" t="s">
        <v>1385</v>
      </c>
      <c r="F144" s="603">
        <v>1</v>
      </c>
      <c r="G144" s="62"/>
      <c r="H144" s="83"/>
    </row>
    <row r="145" spans="1:12" s="450" customFormat="1">
      <c r="A145" s="34"/>
      <c r="B145" s="73"/>
      <c r="C145" s="198"/>
      <c r="D145" s="199"/>
      <c r="E145" s="168" t="s">
        <v>2781</v>
      </c>
      <c r="F145" s="603">
        <v>1</v>
      </c>
      <c r="G145" s="62"/>
      <c r="H145" s="83"/>
      <c r="L145" s="950"/>
    </row>
    <row r="146" spans="1:12" s="450" customFormat="1">
      <c r="A146" s="34"/>
      <c r="B146" s="73"/>
      <c r="C146" s="198"/>
      <c r="D146" s="199"/>
      <c r="E146" s="168" t="s">
        <v>2770</v>
      </c>
      <c r="F146" s="603">
        <v>1</v>
      </c>
      <c r="G146" s="62"/>
      <c r="H146" s="83"/>
    </row>
    <row r="147" spans="1:12" s="450" customFormat="1">
      <c r="A147" s="34"/>
      <c r="B147" s="73"/>
      <c r="C147" s="198"/>
      <c r="D147" s="199"/>
      <c r="E147" s="168" t="s">
        <v>2771</v>
      </c>
      <c r="F147" s="603">
        <v>1</v>
      </c>
      <c r="G147" s="62"/>
      <c r="H147" s="83"/>
    </row>
    <row r="148" spans="1:12" s="450" customFormat="1">
      <c r="A148" s="34"/>
      <c r="B148" s="73"/>
      <c r="C148" s="198"/>
      <c r="D148" s="199"/>
      <c r="E148" s="168" t="s">
        <v>2772</v>
      </c>
      <c r="F148" s="603">
        <v>1</v>
      </c>
      <c r="G148" s="62"/>
      <c r="H148" s="83"/>
    </row>
    <row r="149" spans="1:12" s="450" customFormat="1" ht="12.75" customHeight="1">
      <c r="A149" s="34"/>
      <c r="B149" s="73"/>
      <c r="C149" s="198"/>
      <c r="D149" s="199"/>
      <c r="E149" s="168" t="s">
        <v>2773</v>
      </c>
      <c r="F149" s="603">
        <v>1</v>
      </c>
      <c r="G149" s="62"/>
      <c r="H149" s="83"/>
    </row>
    <row r="150" spans="1:12" s="450" customFormat="1" ht="12.75" customHeight="1">
      <c r="A150" s="34"/>
      <c r="B150" s="73"/>
      <c r="C150" s="198"/>
      <c r="D150" s="199"/>
      <c r="E150" s="168" t="s">
        <v>2783</v>
      </c>
      <c r="F150" s="705">
        <v>1</v>
      </c>
      <c r="G150" s="62"/>
      <c r="H150" s="83"/>
    </row>
    <row r="151" spans="1:12" s="450" customFormat="1">
      <c r="A151" s="34"/>
      <c r="B151" s="73"/>
      <c r="C151" s="198"/>
      <c r="D151" s="199"/>
      <c r="E151" s="168" t="s">
        <v>1130</v>
      </c>
      <c r="F151" s="706">
        <f>SUM(F143:F150)</f>
        <v>8</v>
      </c>
      <c r="G151" s="62"/>
      <c r="H151" s="83"/>
    </row>
    <row r="152" spans="1:12" s="450" customFormat="1" ht="25.5">
      <c r="A152" s="34"/>
      <c r="B152" s="73"/>
      <c r="C152" s="198"/>
      <c r="D152" s="199">
        <v>9202250102</v>
      </c>
      <c r="E152" s="71" t="s">
        <v>479</v>
      </c>
      <c r="F152" s="61"/>
      <c r="G152" s="62" t="s">
        <v>33</v>
      </c>
      <c r="H152" s="83">
        <v>10</v>
      </c>
    </row>
    <row r="153" spans="1:12" s="450" customFormat="1">
      <c r="A153" s="34"/>
      <c r="B153" s="73"/>
      <c r="C153" s="198"/>
      <c r="D153" s="199"/>
      <c r="E153" s="168" t="s">
        <v>2767</v>
      </c>
      <c r="F153" s="603">
        <v>2</v>
      </c>
      <c r="G153" s="62"/>
      <c r="H153" s="83"/>
    </row>
    <row r="154" spans="1:12" s="450" customFormat="1">
      <c r="A154" s="34"/>
      <c r="B154" s="73"/>
      <c r="C154" s="198"/>
      <c r="D154" s="199"/>
      <c r="E154" s="168" t="s">
        <v>1385</v>
      </c>
      <c r="F154" s="603">
        <v>1</v>
      </c>
      <c r="G154" s="62"/>
      <c r="H154" s="83"/>
    </row>
    <row r="155" spans="1:12" s="450" customFormat="1" ht="12.75" customHeight="1">
      <c r="A155" s="34"/>
      <c r="B155" s="73"/>
      <c r="C155" s="198"/>
      <c r="D155" s="199"/>
      <c r="E155" s="168" t="s">
        <v>2781</v>
      </c>
      <c r="F155" s="603">
        <v>1</v>
      </c>
      <c r="G155" s="62"/>
      <c r="H155" s="83"/>
    </row>
    <row r="156" spans="1:12" s="450" customFormat="1">
      <c r="A156" s="34"/>
      <c r="B156" s="73"/>
      <c r="C156" s="198"/>
      <c r="D156" s="199"/>
      <c r="E156" s="168" t="s">
        <v>2770</v>
      </c>
      <c r="F156" s="603">
        <v>1</v>
      </c>
      <c r="G156" s="62"/>
      <c r="H156" s="83"/>
      <c r="K156" s="950"/>
    </row>
    <row r="157" spans="1:12" s="450" customFormat="1">
      <c r="A157" s="34"/>
      <c r="B157" s="73"/>
      <c r="C157" s="198"/>
      <c r="D157" s="199"/>
      <c r="E157" s="168" t="s">
        <v>2771</v>
      </c>
      <c r="F157" s="603">
        <v>2</v>
      </c>
      <c r="G157" s="62"/>
      <c r="H157" s="83"/>
    </row>
    <row r="158" spans="1:12" s="450" customFormat="1">
      <c r="A158" s="34"/>
      <c r="B158" s="73"/>
      <c r="C158" s="198"/>
      <c r="D158" s="199"/>
      <c r="E158" s="168" t="s">
        <v>2772</v>
      </c>
      <c r="F158" s="603">
        <v>1</v>
      </c>
      <c r="G158" s="62"/>
      <c r="H158" s="83"/>
    </row>
    <row r="159" spans="1:12" s="450" customFormat="1" ht="12.75" customHeight="1">
      <c r="A159" s="34"/>
      <c r="B159" s="73"/>
      <c r="C159" s="198"/>
      <c r="D159" s="199"/>
      <c r="E159" s="168" t="s">
        <v>2773</v>
      </c>
      <c r="F159" s="705">
        <v>2</v>
      </c>
      <c r="G159" s="62"/>
      <c r="H159" s="83"/>
    </row>
    <row r="160" spans="1:12" s="450" customFormat="1">
      <c r="A160" s="34"/>
      <c r="B160" s="73"/>
      <c r="C160" s="198"/>
      <c r="D160" s="199"/>
      <c r="E160" s="168" t="s">
        <v>1130</v>
      </c>
      <c r="F160" s="706">
        <f>SUM(F153:F159)</f>
        <v>10</v>
      </c>
      <c r="G160" s="62"/>
      <c r="H160" s="83"/>
    </row>
    <row r="161" spans="1:13" s="450" customFormat="1" ht="25.5">
      <c r="A161" s="34"/>
      <c r="B161" s="73"/>
      <c r="C161" s="198"/>
      <c r="D161" s="199">
        <v>9202250104</v>
      </c>
      <c r="E161" s="71" t="s">
        <v>722</v>
      </c>
      <c r="F161" s="61"/>
      <c r="G161" s="62" t="s">
        <v>33</v>
      </c>
      <c r="H161" s="83">
        <v>10</v>
      </c>
    </row>
    <row r="162" spans="1:13" s="450" customFormat="1" ht="12.75" customHeight="1">
      <c r="A162" s="34"/>
      <c r="B162" s="73"/>
      <c r="C162" s="198"/>
      <c r="D162" s="199"/>
      <c r="E162" s="168" t="s">
        <v>1387</v>
      </c>
      <c r="F162" s="603">
        <v>10</v>
      </c>
      <c r="G162" s="62"/>
      <c r="H162" s="83"/>
    </row>
    <row r="163" spans="1:13" s="450" customFormat="1" ht="25.5">
      <c r="A163" s="34"/>
      <c r="B163" s="73"/>
      <c r="C163" s="198"/>
      <c r="D163" s="199">
        <v>9202250111</v>
      </c>
      <c r="E163" s="71" t="s">
        <v>743</v>
      </c>
      <c r="F163" s="61"/>
      <c r="G163" s="62" t="s">
        <v>33</v>
      </c>
      <c r="H163" s="83">
        <v>20</v>
      </c>
    </row>
    <row r="164" spans="1:13" customFormat="1" ht="15">
      <c r="A164" s="34"/>
      <c r="B164" s="125"/>
      <c r="C164" s="125"/>
      <c r="D164" s="601"/>
      <c r="E164" s="168" t="s">
        <v>2767</v>
      </c>
      <c r="F164" s="603">
        <v>4</v>
      </c>
      <c r="G164" s="32"/>
      <c r="H164" s="83"/>
      <c r="J164" s="450"/>
      <c r="K164" s="450"/>
      <c r="L164" s="450"/>
      <c r="M164" s="450"/>
    </row>
    <row r="165" spans="1:13" customFormat="1" ht="12.75" customHeight="1">
      <c r="A165" s="34"/>
      <c r="B165" s="125"/>
      <c r="C165" s="125"/>
      <c r="D165" s="601"/>
      <c r="E165" s="168" t="s">
        <v>1385</v>
      </c>
      <c r="F165" s="603">
        <v>2</v>
      </c>
      <c r="G165" s="32"/>
      <c r="H165" s="83"/>
      <c r="K165" s="450"/>
      <c r="L165" s="450"/>
      <c r="M165" s="450"/>
    </row>
    <row r="166" spans="1:13" customFormat="1" ht="12.75" customHeight="1">
      <c r="A166" s="34"/>
      <c r="B166" s="125"/>
      <c r="C166" s="125"/>
      <c r="D166" s="601"/>
      <c r="E166" s="168" t="s">
        <v>2781</v>
      </c>
      <c r="F166" s="603">
        <v>2</v>
      </c>
      <c r="G166" s="32"/>
      <c r="H166" s="83"/>
      <c r="K166" s="450"/>
      <c r="L166" s="450"/>
      <c r="M166" s="450"/>
    </row>
    <row r="167" spans="1:13" customFormat="1" ht="15">
      <c r="A167" s="34"/>
      <c r="B167" s="125"/>
      <c r="C167" s="125"/>
      <c r="D167" s="601"/>
      <c r="E167" s="168" t="s">
        <v>2770</v>
      </c>
      <c r="F167" s="603">
        <v>2</v>
      </c>
      <c r="G167" s="32"/>
      <c r="H167" s="83"/>
      <c r="M167" s="950"/>
    </row>
    <row r="168" spans="1:13" customFormat="1" ht="15">
      <c r="A168" s="34"/>
      <c r="B168" s="125"/>
      <c r="C168" s="125"/>
      <c r="D168" s="601"/>
      <c r="E168" s="168" t="s">
        <v>2771</v>
      </c>
      <c r="F168" s="603">
        <v>4</v>
      </c>
      <c r="G168" s="32"/>
      <c r="H168" s="83"/>
      <c r="M168" s="950"/>
    </row>
    <row r="169" spans="1:13" customFormat="1" ht="15">
      <c r="A169" s="34"/>
      <c r="B169" s="125"/>
      <c r="C169" s="125"/>
      <c r="D169" s="601"/>
      <c r="E169" s="168" t="s">
        <v>2772</v>
      </c>
      <c r="F169" s="603">
        <v>2</v>
      </c>
      <c r="G169" s="32"/>
      <c r="H169" s="83"/>
      <c r="M169" s="950"/>
    </row>
    <row r="170" spans="1:13" customFormat="1" ht="15">
      <c r="A170" s="34"/>
      <c r="B170" s="125"/>
      <c r="C170" s="125"/>
      <c r="D170" s="601"/>
      <c r="E170" s="168" t="s">
        <v>2773</v>
      </c>
      <c r="F170" s="705">
        <v>4</v>
      </c>
      <c r="G170" s="32"/>
      <c r="H170" s="83"/>
      <c r="M170" s="950"/>
    </row>
    <row r="171" spans="1:13" customFormat="1" ht="15">
      <c r="A171" s="34"/>
      <c r="B171" s="125"/>
      <c r="C171" s="125"/>
      <c r="D171" s="601"/>
      <c r="E171" s="168" t="s">
        <v>1130</v>
      </c>
      <c r="F171" s="706">
        <f>SUM(F164:F170)</f>
        <v>20</v>
      </c>
      <c r="G171" s="32"/>
      <c r="H171" s="83"/>
      <c r="M171" s="950"/>
    </row>
    <row r="172" spans="1:13" customFormat="1" ht="15">
      <c r="A172" s="34"/>
      <c r="B172" s="125"/>
      <c r="C172" s="125"/>
      <c r="D172" s="601"/>
      <c r="E172" s="168"/>
      <c r="F172" s="603"/>
      <c r="G172" s="32"/>
      <c r="H172" s="83"/>
      <c r="M172" s="950"/>
    </row>
    <row r="173" spans="1:13" customFormat="1" ht="25.5">
      <c r="A173" s="34">
        <f>MAX(A$1:A172)+1</f>
        <v>26</v>
      </c>
      <c r="B173" s="43"/>
      <c r="C173" s="195">
        <v>92022705</v>
      </c>
      <c r="D173" s="196"/>
      <c r="E173" s="38" t="s">
        <v>2784</v>
      </c>
      <c r="F173" s="39"/>
      <c r="G173" s="40" t="s">
        <v>33</v>
      </c>
      <c r="H173" s="64">
        <v>3</v>
      </c>
    </row>
    <row r="174" spans="1:13" customFormat="1" ht="25.5">
      <c r="A174" s="34"/>
      <c r="B174" s="125"/>
      <c r="C174" s="125"/>
      <c r="D174" s="198">
        <v>9202270506</v>
      </c>
      <c r="E174" s="71" t="s">
        <v>2785</v>
      </c>
      <c r="F174" s="61"/>
      <c r="G174" s="62" t="s">
        <v>33</v>
      </c>
      <c r="H174" s="83">
        <v>3</v>
      </c>
    </row>
    <row r="175" spans="1:13" customFormat="1" ht="15">
      <c r="A175" s="34"/>
      <c r="B175" s="125"/>
      <c r="C175" s="125"/>
      <c r="D175" s="601"/>
      <c r="E175" s="168" t="s">
        <v>2786</v>
      </c>
      <c r="F175" s="603">
        <v>1</v>
      </c>
      <c r="G175" s="32"/>
      <c r="H175" s="83"/>
    </row>
    <row r="176" spans="1:13" customFormat="1" ht="15">
      <c r="A176" s="34"/>
      <c r="B176" s="125"/>
      <c r="C176" s="125"/>
      <c r="D176" s="601"/>
      <c r="E176" s="168" t="s">
        <v>2787</v>
      </c>
      <c r="F176" s="705">
        <v>2</v>
      </c>
      <c r="G176" s="32"/>
      <c r="H176" s="83"/>
    </row>
    <row r="177" spans="1:8" customFormat="1" ht="15">
      <c r="A177" s="34"/>
      <c r="B177" s="125"/>
      <c r="C177" s="125"/>
      <c r="D177" s="601"/>
      <c r="E177" s="168" t="s">
        <v>1130</v>
      </c>
      <c r="F177" s="706">
        <f>SUM(F175:F176)</f>
        <v>3</v>
      </c>
      <c r="G177" s="32"/>
      <c r="H177" s="83"/>
    </row>
    <row r="178" spans="1:8" customFormat="1" ht="15">
      <c r="A178" s="34"/>
      <c r="B178" s="125"/>
      <c r="C178" s="125"/>
      <c r="D178" s="601"/>
      <c r="E178" s="168"/>
      <c r="F178" s="603"/>
      <c r="G178" s="32"/>
      <c r="H178" s="83"/>
    </row>
    <row r="179" spans="1:8" customFormat="1" ht="25.5">
      <c r="A179" s="34">
        <f>MAX(A$1:A178)+1</f>
        <v>27</v>
      </c>
      <c r="B179" s="43"/>
      <c r="C179" s="195">
        <v>92090102</v>
      </c>
      <c r="D179" s="196"/>
      <c r="E179" s="38" t="s">
        <v>2788</v>
      </c>
      <c r="F179" s="39"/>
      <c r="G179" s="40" t="s">
        <v>33</v>
      </c>
      <c r="H179" s="64">
        <v>2</v>
      </c>
    </row>
    <row r="180" spans="1:8" customFormat="1" ht="25.5">
      <c r="A180" s="72"/>
      <c r="B180" s="73"/>
      <c r="C180" s="198"/>
      <c r="D180" s="199">
        <v>9209010203</v>
      </c>
      <c r="E180" s="71" t="s">
        <v>2789</v>
      </c>
      <c r="F180" s="61"/>
      <c r="G180" s="62" t="s">
        <v>33</v>
      </c>
      <c r="H180" s="83">
        <v>2</v>
      </c>
    </row>
    <row r="181" spans="1:8" customFormat="1" ht="15">
      <c r="A181" s="72"/>
      <c r="B181" s="43"/>
      <c r="C181" s="195"/>
      <c r="D181" s="196"/>
      <c r="E181" s="168" t="s">
        <v>2790</v>
      </c>
      <c r="F181" s="603">
        <v>2</v>
      </c>
      <c r="G181" s="40"/>
      <c r="H181" s="83"/>
    </row>
    <row r="182" spans="1:8" customFormat="1" ht="15">
      <c r="A182" s="845"/>
      <c r="B182" s="302"/>
      <c r="C182" s="452"/>
      <c r="D182" s="518"/>
      <c r="E182" s="77"/>
      <c r="F182" s="212"/>
      <c r="G182" s="516"/>
      <c r="H182" s="553"/>
    </row>
    <row r="183" spans="1:8" customFormat="1" ht="15.75" thickBot="1">
      <c r="A183" s="459"/>
      <c r="B183" s="460"/>
      <c r="C183" s="391"/>
      <c r="D183" s="461"/>
      <c r="E183" s="462"/>
      <c r="F183" s="524"/>
      <c r="G183" s="525"/>
      <c r="H183" s="574"/>
    </row>
    <row r="184" spans="1:8" customFormat="1" ht="24.75" customHeight="1">
      <c r="A184" s="526"/>
      <c r="B184" s="527"/>
      <c r="C184" s="344"/>
      <c r="D184" s="519"/>
      <c r="E184" s="129"/>
      <c r="F184" s="131"/>
      <c r="G184" s="326"/>
      <c r="H184" s="528"/>
    </row>
  </sheetData>
  <sheetProtection algorithmName="SHA-512" hashValue="aaj4tWfiIn5ukss5lwCMBDlDLxiz51DWOfMSd/rvf3txWR1JSHHmiD2XG5Lmpql8N87ChH6xGW2vqB0u9uI3SA==" saltValue="ZX61lZbGusy/cGVDeWNlH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8AFB-4899-45B9-A822-8D3276F191B3}">
  <sheetPr codeName="Hárok3"/>
  <dimension ref="A1:AD430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1" style="208" bestFit="1" customWidth="1"/>
    <col min="10" max="10" width="17.140625" customWidth="1"/>
    <col min="11" max="11" width="11.7109375" bestFit="1" customWidth="1"/>
    <col min="13" max="13" width="9.5703125" bestFit="1" customWidth="1"/>
    <col min="16" max="16" width="13.140625" customWidth="1"/>
    <col min="17" max="17" width="9.85546875" bestFit="1" customWidth="1"/>
    <col min="21" max="21" width="14.140625" style="208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1341" t="s">
        <v>890</v>
      </c>
      <c r="F1" s="1341"/>
      <c r="G1" s="1341"/>
      <c r="H1" s="1341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24">
      <c r="A5" s="299"/>
      <c r="B5" s="119"/>
      <c r="C5" s="119"/>
      <c r="D5" s="119"/>
      <c r="E5" s="323"/>
      <c r="F5" s="692"/>
      <c r="G5" s="296"/>
      <c r="H5" s="604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I8" s="693"/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  <c r="I9" s="693"/>
    </row>
    <row r="10" spans="1:24">
      <c r="A10" s="268"/>
      <c r="B10" s="24"/>
      <c r="C10" s="25"/>
      <c r="D10" s="26"/>
      <c r="E10" s="316" t="s">
        <v>892</v>
      </c>
      <c r="F10" s="136"/>
      <c r="G10" s="29"/>
      <c r="H10" s="30"/>
      <c r="L10" s="120"/>
      <c r="P10" s="694"/>
      <c r="X10" s="120"/>
    </row>
    <row r="11" spans="1:24" ht="26.25">
      <c r="A11" s="268"/>
      <c r="B11" s="24"/>
      <c r="C11" s="25"/>
      <c r="D11" s="26"/>
      <c r="E11" s="76" t="s">
        <v>893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894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895</v>
      </c>
      <c r="F13" s="136"/>
      <c r="G13" s="29"/>
      <c r="H13" s="3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896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897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898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 t="s">
        <v>899</v>
      </c>
      <c r="F18" s="136"/>
      <c r="G18" s="29"/>
      <c r="H18" s="30"/>
      <c r="L18" s="120"/>
      <c r="X18" s="120"/>
    </row>
    <row r="19" spans="1:24">
      <c r="A19" s="268"/>
      <c r="B19" s="24"/>
      <c r="C19" s="25"/>
      <c r="D19" s="26"/>
      <c r="E19" s="76"/>
      <c r="F19" s="136"/>
      <c r="G19" s="29"/>
      <c r="H19" s="30"/>
    </row>
    <row r="20" spans="1:24">
      <c r="A20" s="268"/>
      <c r="B20" s="24"/>
      <c r="C20" s="25"/>
      <c r="D20" s="26"/>
      <c r="E20" s="316" t="s">
        <v>900</v>
      </c>
      <c r="F20" s="136"/>
      <c r="G20" s="29"/>
      <c r="H20" s="30"/>
    </row>
    <row r="21" spans="1:24" ht="26.25">
      <c r="A21" s="268"/>
      <c r="B21" s="24"/>
      <c r="C21" s="25"/>
      <c r="D21" s="26"/>
      <c r="E21" s="76" t="s">
        <v>901</v>
      </c>
      <c r="F21" s="136"/>
      <c r="G21" s="29"/>
      <c r="H21" s="30"/>
      <c r="L21" s="120"/>
      <c r="X21" s="120"/>
    </row>
    <row r="22" spans="1:24">
      <c r="A22" s="268"/>
      <c r="B22" s="24"/>
      <c r="C22" s="25"/>
      <c r="D22" s="26"/>
      <c r="E22" s="76" t="s">
        <v>902</v>
      </c>
      <c r="F22" s="136"/>
      <c r="G22" s="29"/>
      <c r="H22" s="30"/>
      <c r="L22" s="120"/>
      <c r="X22" s="120"/>
    </row>
    <row r="23" spans="1:24">
      <c r="A23" s="268"/>
      <c r="B23" s="24"/>
      <c r="C23" s="25"/>
      <c r="D23" s="26"/>
      <c r="E23" s="76" t="s">
        <v>903</v>
      </c>
      <c r="F23" s="136"/>
      <c r="G23" s="29"/>
      <c r="H23" s="30"/>
      <c r="L23" s="120"/>
      <c r="X23" s="120"/>
    </row>
    <row r="24" spans="1:24">
      <c r="A24" s="268"/>
      <c r="B24" s="24"/>
      <c r="C24" s="25"/>
      <c r="D24" s="26"/>
      <c r="E24" s="76"/>
      <c r="F24" s="136"/>
      <c r="G24" s="29"/>
      <c r="H24" s="30"/>
      <c r="L24" s="120"/>
    </row>
    <row r="25" spans="1:24">
      <c r="A25" s="268"/>
      <c r="B25" s="24"/>
      <c r="C25" s="25"/>
      <c r="D25" s="26"/>
      <c r="E25" s="316" t="s">
        <v>904</v>
      </c>
      <c r="F25" s="136"/>
      <c r="G25" s="29"/>
      <c r="H25" s="30"/>
    </row>
    <row r="26" spans="1:24" ht="26.25">
      <c r="A26" s="268"/>
      <c r="B26" s="24"/>
      <c r="C26" s="25"/>
      <c r="D26" s="26"/>
      <c r="E26" s="76" t="s">
        <v>901</v>
      </c>
      <c r="F26" s="136"/>
      <c r="G26" s="29"/>
      <c r="H26" s="30"/>
      <c r="L26" s="120"/>
      <c r="X26" s="120"/>
    </row>
    <row r="27" spans="1:24">
      <c r="A27" s="268"/>
      <c r="B27" s="24"/>
      <c r="C27" s="25"/>
      <c r="D27" s="26"/>
      <c r="E27" s="76" t="s">
        <v>902</v>
      </c>
      <c r="F27" s="136"/>
      <c r="G27" s="29"/>
      <c r="H27" s="30"/>
      <c r="L27" s="120"/>
      <c r="X27" s="120"/>
    </row>
    <row r="28" spans="1:24">
      <c r="A28" s="268"/>
      <c r="B28" s="24"/>
      <c r="C28" s="25"/>
      <c r="D28" s="26"/>
      <c r="E28" s="76" t="s">
        <v>903</v>
      </c>
      <c r="F28" s="136"/>
      <c r="G28" s="29"/>
      <c r="H28" s="30"/>
      <c r="L28" s="120"/>
      <c r="X28" s="120"/>
    </row>
    <row r="29" spans="1:24">
      <c r="A29" s="268"/>
      <c r="B29" s="24"/>
      <c r="C29" s="25"/>
      <c r="D29" s="26"/>
      <c r="E29" s="76"/>
      <c r="F29" s="136"/>
      <c r="G29" s="29"/>
      <c r="H29" s="30"/>
      <c r="L29" s="120"/>
    </row>
    <row r="30" spans="1:24">
      <c r="A30" s="268"/>
      <c r="B30" s="24"/>
      <c r="C30" s="25"/>
      <c r="D30" s="26"/>
      <c r="E30" s="316" t="s">
        <v>905</v>
      </c>
      <c r="F30" s="136"/>
      <c r="G30" s="29"/>
      <c r="H30" s="30"/>
    </row>
    <row r="31" spans="1:24" ht="26.25">
      <c r="A31" s="268"/>
      <c r="B31" s="24"/>
      <c r="C31" s="25"/>
      <c r="D31" s="26"/>
      <c r="E31" s="76" t="s">
        <v>901</v>
      </c>
      <c r="F31" s="136"/>
      <c r="G31" s="29"/>
      <c r="H31" s="30"/>
      <c r="L31" s="120"/>
      <c r="X31" s="120"/>
    </row>
    <row r="32" spans="1:24">
      <c r="A32" s="268"/>
      <c r="B32" s="24"/>
      <c r="C32" s="25"/>
      <c r="D32" s="26"/>
      <c r="E32" s="76" t="s">
        <v>902</v>
      </c>
      <c r="F32" s="136"/>
      <c r="G32" s="29"/>
      <c r="H32" s="30"/>
      <c r="L32" s="120"/>
      <c r="X32" s="120"/>
    </row>
    <row r="33" spans="1:30">
      <c r="A33" s="268"/>
      <c r="B33" s="24"/>
      <c r="C33" s="25"/>
      <c r="D33" s="26"/>
      <c r="E33" s="76" t="s">
        <v>903</v>
      </c>
      <c r="F33" s="136"/>
      <c r="G33" s="29"/>
      <c r="H33" s="30"/>
      <c r="L33" s="120"/>
      <c r="X33" s="120"/>
    </row>
    <row r="34" spans="1:30">
      <c r="A34" s="268"/>
      <c r="B34" s="24"/>
      <c r="C34" s="25"/>
      <c r="D34" s="26"/>
      <c r="E34" s="76"/>
      <c r="F34" s="136"/>
      <c r="G34" s="29"/>
      <c r="H34" s="30"/>
      <c r="L34" s="120"/>
    </row>
    <row r="35" spans="1:30">
      <c r="A35" s="268"/>
      <c r="B35" s="24"/>
      <c r="C35" s="25"/>
      <c r="D35" s="26"/>
      <c r="E35" s="316" t="s">
        <v>906</v>
      </c>
      <c r="F35" s="136"/>
      <c r="G35" s="29"/>
      <c r="H35" s="30"/>
    </row>
    <row r="36" spans="1:30" ht="26.25">
      <c r="A36" s="268"/>
      <c r="B36" s="24"/>
      <c r="C36" s="25"/>
      <c r="D36" s="26"/>
      <c r="E36" s="76" t="s">
        <v>907</v>
      </c>
      <c r="F36" s="136"/>
      <c r="G36" s="29"/>
      <c r="H36" s="30"/>
      <c r="L36" s="120"/>
      <c r="X36" s="120"/>
    </row>
    <row r="37" spans="1:30">
      <c r="A37" s="268"/>
      <c r="B37" s="24"/>
      <c r="C37" s="25"/>
      <c r="D37" s="26"/>
      <c r="E37" s="76" t="s">
        <v>902</v>
      </c>
      <c r="F37" s="136"/>
      <c r="G37" s="29"/>
      <c r="H37" s="30"/>
      <c r="L37" s="120"/>
      <c r="X37" s="120"/>
    </row>
    <row r="38" spans="1:30">
      <c r="A38" s="268"/>
      <c r="B38" s="24"/>
      <c r="C38" s="25"/>
      <c r="D38" s="26"/>
      <c r="E38" s="76" t="s">
        <v>908</v>
      </c>
      <c r="F38" s="136"/>
      <c r="G38" s="29"/>
      <c r="H38" s="30"/>
      <c r="L38" s="120"/>
      <c r="X38" s="120"/>
    </row>
    <row r="39" spans="1:30">
      <c r="A39" s="268"/>
      <c r="B39" s="24"/>
      <c r="C39" s="25"/>
      <c r="D39" s="26"/>
      <c r="E39" s="76"/>
      <c r="F39" s="136"/>
      <c r="G39" s="29"/>
      <c r="H39" s="30"/>
      <c r="L39" s="120"/>
    </row>
    <row r="40" spans="1:30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0">
      <c r="A41" s="268"/>
      <c r="B41" s="24"/>
      <c r="C41" s="25"/>
      <c r="D41" s="26"/>
      <c r="E41" s="316" t="s">
        <v>892</v>
      </c>
      <c r="F41" s="136"/>
      <c r="G41" s="29"/>
      <c r="H41" s="30"/>
    </row>
    <row r="42" spans="1:30">
      <c r="A42" s="268"/>
      <c r="B42" s="24"/>
      <c r="C42" s="25"/>
      <c r="D42" s="26"/>
      <c r="E42" s="76" t="s">
        <v>910</v>
      </c>
      <c r="F42" s="136"/>
      <c r="G42" s="29"/>
      <c r="H42" s="30"/>
    </row>
    <row r="43" spans="1:30">
      <c r="A43" s="268"/>
      <c r="B43" s="24"/>
      <c r="C43" s="25"/>
      <c r="D43" s="26"/>
      <c r="E43" s="76" t="s">
        <v>911</v>
      </c>
      <c r="F43" s="136"/>
      <c r="G43" s="29"/>
      <c r="H43" s="30"/>
      <c r="L43" s="120"/>
      <c r="R43" s="120"/>
      <c r="X43" s="120"/>
      <c r="AD43" s="120"/>
    </row>
    <row r="44" spans="1:30">
      <c r="A44" s="268"/>
      <c r="B44" s="24"/>
      <c r="C44" s="25"/>
      <c r="D44" s="26"/>
      <c r="E44" s="76"/>
      <c r="F44" s="136"/>
      <c r="G44" s="29"/>
      <c r="H44" s="30"/>
      <c r="L44" s="120"/>
      <c r="R44" s="120"/>
      <c r="X44" s="120"/>
      <c r="AD44" s="120"/>
    </row>
    <row r="45" spans="1:30">
      <c r="A45" s="268"/>
      <c r="B45" s="24"/>
      <c r="C45" s="25"/>
      <c r="D45" s="26"/>
      <c r="E45" s="316" t="s">
        <v>912</v>
      </c>
      <c r="F45" s="136"/>
      <c r="G45" s="29"/>
      <c r="H45" s="30"/>
      <c r="L45" s="120"/>
      <c r="R45" s="120"/>
      <c r="X45" s="120"/>
      <c r="AD45" s="120"/>
    </row>
    <row r="46" spans="1:30">
      <c r="A46" s="268"/>
      <c r="B46" s="24"/>
      <c r="C46" s="25"/>
      <c r="D46" s="26"/>
      <c r="E46" s="76" t="s">
        <v>910</v>
      </c>
      <c r="F46" s="136"/>
      <c r="G46" s="29"/>
      <c r="H46" s="30"/>
    </row>
    <row r="47" spans="1:30">
      <c r="A47" s="268"/>
      <c r="B47" s="24"/>
      <c r="C47" s="25"/>
      <c r="D47" s="26"/>
      <c r="E47" s="76" t="s">
        <v>913</v>
      </c>
      <c r="F47" s="136"/>
      <c r="G47" s="29"/>
      <c r="H47" s="30"/>
    </row>
    <row r="48" spans="1:30">
      <c r="A48" s="268"/>
      <c r="B48" s="24"/>
      <c r="C48" s="25"/>
      <c r="D48" s="26"/>
      <c r="E48" s="76"/>
      <c r="F48" s="136"/>
      <c r="G48" s="29"/>
      <c r="H48" s="30"/>
    </row>
    <row r="49" spans="1:17" ht="26.25">
      <c r="A49" s="268"/>
      <c r="B49" s="24"/>
      <c r="C49" s="25"/>
      <c r="D49" s="26"/>
      <c r="E49" s="76" t="s">
        <v>914</v>
      </c>
      <c r="F49" s="136"/>
      <c r="G49" s="29"/>
      <c r="H49" s="30"/>
    </row>
    <row r="50" spans="1:17" ht="26.25">
      <c r="A50" s="268"/>
      <c r="B50" s="24"/>
      <c r="C50" s="25"/>
      <c r="D50" s="26"/>
      <c r="E50" s="76" t="s">
        <v>915</v>
      </c>
      <c r="F50" s="136"/>
      <c r="G50" s="29"/>
      <c r="H50" s="30"/>
    </row>
    <row r="51" spans="1:17">
      <c r="A51" s="268"/>
      <c r="B51" s="24"/>
      <c r="C51" s="25"/>
      <c r="D51" s="26"/>
      <c r="E51" s="76"/>
      <c r="F51" s="136"/>
      <c r="G51" s="29"/>
      <c r="H51" s="30"/>
    </row>
    <row r="52" spans="1:17" ht="26.25">
      <c r="A52" s="268"/>
      <c r="B52" s="24"/>
      <c r="C52" s="25"/>
      <c r="D52" s="26"/>
      <c r="E52" s="76" t="s">
        <v>916</v>
      </c>
      <c r="F52" s="136"/>
      <c r="G52" s="29"/>
      <c r="H52" s="30"/>
      <c r="J52" s="1342"/>
      <c r="K52" s="1342"/>
      <c r="L52" s="1342"/>
      <c r="M52" s="1342"/>
      <c r="Q52" s="120"/>
    </row>
    <row r="53" spans="1:17" ht="26.25">
      <c r="A53" s="268"/>
      <c r="B53" s="24"/>
      <c r="C53" s="25"/>
      <c r="D53" s="26"/>
      <c r="E53" s="76" t="s">
        <v>917</v>
      </c>
      <c r="F53" s="136"/>
      <c r="G53" s="29"/>
      <c r="H53" s="30"/>
      <c r="J53" s="1342"/>
      <c r="K53" s="1342"/>
      <c r="L53" s="1342"/>
      <c r="M53" s="1342"/>
      <c r="Q53" s="120"/>
    </row>
    <row r="54" spans="1:17">
      <c r="A54" s="268"/>
      <c r="B54" s="24"/>
      <c r="C54" s="25"/>
      <c r="D54" s="26"/>
      <c r="E54" s="76"/>
      <c r="F54" s="136"/>
      <c r="G54" s="29"/>
      <c r="H54" s="30"/>
      <c r="Q54" s="120"/>
    </row>
    <row r="55" spans="1:17" ht="16.5" customHeight="1">
      <c r="A55" s="268"/>
      <c r="B55" s="24"/>
      <c r="C55" s="25"/>
      <c r="D55" s="26"/>
      <c r="E55" s="76" t="s">
        <v>918</v>
      </c>
      <c r="F55" s="136"/>
      <c r="G55" s="29"/>
      <c r="H55" s="30"/>
    </row>
    <row r="56" spans="1:17">
      <c r="A56" s="268"/>
      <c r="B56" s="24"/>
      <c r="C56" s="25"/>
      <c r="D56" s="26"/>
      <c r="E56" s="316" t="s">
        <v>892</v>
      </c>
      <c r="F56" s="136"/>
      <c r="G56" s="29"/>
      <c r="H56" s="30"/>
    </row>
    <row r="57" spans="1:17" ht="26.25">
      <c r="A57" s="268"/>
      <c r="B57" s="24"/>
      <c r="C57" s="25"/>
      <c r="D57" s="26"/>
      <c r="E57" s="76" t="s">
        <v>919</v>
      </c>
      <c r="F57" s="136"/>
      <c r="G57" s="29"/>
      <c r="H57" s="30"/>
    </row>
    <row r="58" spans="1:17">
      <c r="A58" s="268"/>
      <c r="B58" s="24"/>
      <c r="C58" s="25"/>
      <c r="D58" s="26"/>
      <c r="E58" s="76"/>
      <c r="F58" s="136"/>
      <c r="G58" s="29"/>
      <c r="H58" s="30"/>
    </row>
    <row r="59" spans="1:17">
      <c r="A59" s="268"/>
      <c r="B59" s="24"/>
      <c r="C59" s="25"/>
      <c r="D59" s="26"/>
      <c r="E59" s="316" t="s">
        <v>912</v>
      </c>
      <c r="F59" s="136"/>
      <c r="G59" s="29"/>
      <c r="H59" s="30"/>
    </row>
    <row r="60" spans="1:17" ht="26.25">
      <c r="A60" s="268"/>
      <c r="B60" s="24"/>
      <c r="C60" s="25"/>
      <c r="D60" s="26"/>
      <c r="E60" s="76" t="s">
        <v>920</v>
      </c>
      <c r="F60" s="136"/>
      <c r="G60" s="29"/>
      <c r="H60" s="30"/>
    </row>
    <row r="61" spans="1:17">
      <c r="A61" s="268"/>
      <c r="B61" s="24"/>
      <c r="C61" s="25"/>
      <c r="D61" s="26"/>
      <c r="E61" s="76"/>
      <c r="F61" s="136"/>
      <c r="G61" s="29"/>
      <c r="H61" s="30"/>
    </row>
    <row r="62" spans="1:17" ht="25.5">
      <c r="A62" s="34">
        <f>MAX(A$1:A61)+1</f>
        <v>2</v>
      </c>
      <c r="B62" s="24"/>
      <c r="C62" s="36" t="s">
        <v>13</v>
      </c>
      <c r="D62" s="37"/>
      <c r="E62" s="38" t="s">
        <v>14</v>
      </c>
      <c r="F62" s="39"/>
      <c r="G62" s="40" t="s">
        <v>15</v>
      </c>
      <c r="H62" s="1326">
        <v>4747.55</v>
      </c>
    </row>
    <row r="63" spans="1:17">
      <c r="A63" s="268"/>
      <c r="B63" s="24"/>
      <c r="C63" s="25"/>
      <c r="D63" s="26"/>
      <c r="E63" s="76"/>
      <c r="F63" s="1325">
        <f>F138</f>
        <v>4747.5449999999992</v>
      </c>
      <c r="G63" s="29"/>
      <c r="H63" s="30"/>
    </row>
    <row r="64" spans="1:17">
      <c r="A64" s="268"/>
      <c r="B64" s="24"/>
      <c r="C64" s="25"/>
      <c r="D64" s="26"/>
      <c r="E64" s="76"/>
      <c r="F64" s="136"/>
      <c r="G64" s="29"/>
      <c r="H64" s="30"/>
    </row>
    <row r="65" spans="1:11" ht="25.5">
      <c r="A65" s="34">
        <f>MAX(A$1:A64)+1</f>
        <v>3</v>
      </c>
      <c r="B65" s="35"/>
      <c r="C65" s="36" t="s">
        <v>16</v>
      </c>
      <c r="D65" s="37"/>
      <c r="E65" s="38" t="s">
        <v>17</v>
      </c>
      <c r="F65" s="39"/>
      <c r="G65" s="40" t="s">
        <v>18</v>
      </c>
      <c r="H65" s="128">
        <v>246.5</v>
      </c>
    </row>
    <row r="66" spans="1:11">
      <c r="A66" s="34"/>
      <c r="B66" s="35"/>
      <c r="C66" s="36"/>
      <c r="D66" s="37"/>
      <c r="E66" s="65" t="s">
        <v>852</v>
      </c>
      <c r="F66" s="90">
        <f>F184</f>
        <v>246.5</v>
      </c>
      <c r="G66" s="40"/>
      <c r="H66" s="30"/>
    </row>
    <row r="67" spans="1:11">
      <c r="A67" s="145"/>
      <c r="B67" s="35"/>
      <c r="C67" s="36"/>
      <c r="D67" s="37"/>
      <c r="E67" s="65"/>
      <c r="F67" s="90"/>
      <c r="G67" s="40"/>
      <c r="H67" s="30"/>
    </row>
    <row r="68" spans="1:11" ht="15.75">
      <c r="A68" s="145"/>
      <c r="B68" s="24" t="s">
        <v>19</v>
      </c>
      <c r="C68" s="48"/>
      <c r="D68" s="49"/>
      <c r="E68" s="50" t="s">
        <v>20</v>
      </c>
      <c r="F68" s="90"/>
      <c r="G68" s="40"/>
      <c r="H68" s="30"/>
    </row>
    <row r="69" spans="1:11" ht="15.75">
      <c r="A69" s="145"/>
      <c r="B69" s="24"/>
      <c r="C69" s="48"/>
      <c r="D69" s="49"/>
      <c r="E69" s="50"/>
      <c r="F69" s="90"/>
      <c r="G69" s="40"/>
      <c r="H69" s="30"/>
    </row>
    <row r="70" spans="1:11" ht="25.5">
      <c r="A70" s="34">
        <f>MAX(A$1:A69)+1</f>
        <v>4</v>
      </c>
      <c r="B70" s="24"/>
      <c r="C70" s="36" t="s">
        <v>22</v>
      </c>
      <c r="D70" s="37"/>
      <c r="E70" s="38" t="s">
        <v>23</v>
      </c>
      <c r="F70" s="39"/>
      <c r="G70" s="40" t="s">
        <v>21</v>
      </c>
      <c r="H70" s="128">
        <v>293</v>
      </c>
    </row>
    <row r="71" spans="1:11" ht="28.5" customHeight="1">
      <c r="A71" s="145"/>
      <c r="B71" s="24"/>
      <c r="C71" s="66"/>
      <c r="D71" s="67" t="s">
        <v>24</v>
      </c>
      <c r="E71" s="71" t="s">
        <v>25</v>
      </c>
      <c r="F71" s="61"/>
      <c r="G71" s="62" t="s">
        <v>21</v>
      </c>
      <c r="H71" s="124">
        <v>53</v>
      </c>
    </row>
    <row r="72" spans="1:11">
      <c r="A72" s="145"/>
      <c r="B72" s="24"/>
      <c r="C72" s="66"/>
      <c r="D72" s="67"/>
      <c r="E72" s="65" t="s">
        <v>921</v>
      </c>
      <c r="F72" s="46">
        <v>53</v>
      </c>
      <c r="G72" s="62"/>
      <c r="H72" s="124"/>
    </row>
    <row r="73" spans="1:11" ht="38.25">
      <c r="A73" s="145"/>
      <c r="B73" s="24"/>
      <c r="C73" s="66"/>
      <c r="D73" s="67" t="s">
        <v>637</v>
      </c>
      <c r="E73" s="71" t="s">
        <v>638</v>
      </c>
      <c r="F73" s="61"/>
      <c r="G73" s="62" t="s">
        <v>21</v>
      </c>
      <c r="H73" s="124">
        <v>240</v>
      </c>
    </row>
    <row r="74" spans="1:11">
      <c r="A74" s="145"/>
      <c r="B74" s="24"/>
      <c r="C74" s="66"/>
      <c r="D74" s="67"/>
      <c r="E74" s="65" t="s">
        <v>922</v>
      </c>
      <c r="F74" s="46">
        <v>240</v>
      </c>
      <c r="G74" s="62"/>
      <c r="H74" s="30"/>
      <c r="K74" s="120"/>
    </row>
    <row r="75" spans="1:11" ht="15.75">
      <c r="A75" s="145"/>
      <c r="B75" s="24"/>
      <c r="C75" s="48"/>
      <c r="D75" s="49"/>
      <c r="E75" s="50"/>
      <c r="F75" s="90"/>
      <c r="G75" s="40"/>
      <c r="H75" s="30"/>
    </row>
    <row r="76" spans="1:11" ht="25.5">
      <c r="A76" s="34">
        <f>MAX(A$1:A75)+1</f>
        <v>5</v>
      </c>
      <c r="B76" s="35"/>
      <c r="C76" s="36" t="s">
        <v>26</v>
      </c>
      <c r="D76" s="37"/>
      <c r="E76" s="38" t="s">
        <v>27</v>
      </c>
      <c r="F76" s="39"/>
      <c r="G76" s="40" t="s">
        <v>21</v>
      </c>
      <c r="H76" s="128">
        <v>338</v>
      </c>
    </row>
    <row r="77" spans="1:11" ht="25.5">
      <c r="A77" s="145"/>
      <c r="B77" s="35"/>
      <c r="C77" s="36"/>
      <c r="D77" s="67" t="s">
        <v>453</v>
      </c>
      <c r="E77" s="71" t="s">
        <v>454</v>
      </c>
      <c r="F77" s="61"/>
      <c r="G77" s="62" t="s">
        <v>21</v>
      </c>
      <c r="H77" s="124">
        <v>338</v>
      </c>
    </row>
    <row r="78" spans="1:11" ht="25.5">
      <c r="A78" s="145"/>
      <c r="B78" s="35"/>
      <c r="C78" s="36"/>
      <c r="D78" s="37"/>
      <c r="E78" s="65" t="s">
        <v>923</v>
      </c>
      <c r="F78" s="46">
        <v>115</v>
      </c>
      <c r="G78" s="40"/>
      <c r="H78" s="128"/>
    </row>
    <row r="79" spans="1:11">
      <c r="A79" s="145"/>
      <c r="B79" s="35"/>
      <c r="C79" s="36"/>
      <c r="D79" s="37"/>
      <c r="E79" s="65" t="s">
        <v>924</v>
      </c>
      <c r="F79" s="90">
        <v>175</v>
      </c>
      <c r="G79" s="40"/>
      <c r="H79" s="128"/>
    </row>
    <row r="80" spans="1:11" ht="32.25" customHeight="1">
      <c r="A80" s="145"/>
      <c r="B80" s="35"/>
      <c r="C80" s="36"/>
      <c r="D80" s="37"/>
      <c r="E80" s="68" t="s">
        <v>925</v>
      </c>
      <c r="F80" s="138">
        <v>48</v>
      </c>
      <c r="G80" s="40"/>
      <c r="H80" s="128"/>
    </row>
    <row r="81" spans="1:11">
      <c r="A81" s="145"/>
      <c r="B81" s="35"/>
      <c r="C81" s="36"/>
      <c r="D81" s="37"/>
      <c r="E81" s="65"/>
      <c r="F81" s="90">
        <f>SUM(F78:F80)</f>
        <v>338</v>
      </c>
      <c r="G81" s="40"/>
      <c r="H81" s="128"/>
    </row>
    <row r="82" spans="1:11">
      <c r="A82" s="145"/>
      <c r="B82" s="35"/>
      <c r="C82" s="36"/>
      <c r="D82" s="37"/>
      <c r="E82" s="65"/>
      <c r="F82" s="90"/>
      <c r="G82" s="40"/>
      <c r="H82" s="30"/>
    </row>
    <row r="83" spans="1:11" ht="25.5">
      <c r="A83" s="34">
        <f>MAX(A$1:A82)+1</f>
        <v>6</v>
      </c>
      <c r="B83" s="35"/>
      <c r="C83" s="36" t="s">
        <v>28</v>
      </c>
      <c r="D83" s="37"/>
      <c r="E83" s="38" t="s">
        <v>29</v>
      </c>
      <c r="F83" s="39"/>
      <c r="G83" s="40" t="s">
        <v>21</v>
      </c>
      <c r="H83" s="128">
        <v>7524</v>
      </c>
      <c r="I83" s="695"/>
    </row>
    <row r="84" spans="1:11" ht="25.5">
      <c r="A84" s="145"/>
      <c r="B84" s="35"/>
      <c r="C84" s="36"/>
      <c r="D84" s="67" t="s">
        <v>30</v>
      </c>
      <c r="E84" s="71" t="s">
        <v>31</v>
      </c>
      <c r="F84" s="61"/>
      <c r="G84" s="62" t="s">
        <v>21</v>
      </c>
      <c r="H84" s="124">
        <v>6959</v>
      </c>
    </row>
    <row r="85" spans="1:11">
      <c r="A85" s="145"/>
      <c r="B85" s="35"/>
      <c r="C85" s="36"/>
      <c r="D85" s="37"/>
      <c r="E85" s="65" t="s">
        <v>926</v>
      </c>
      <c r="F85" s="90">
        <v>6959</v>
      </c>
      <c r="G85" s="40"/>
      <c r="H85" s="124"/>
    </row>
    <row r="86" spans="1:11" ht="38.25">
      <c r="A86" s="145"/>
      <c r="B86" s="35"/>
      <c r="C86" s="66"/>
      <c r="D86" s="67" t="s">
        <v>276</v>
      </c>
      <c r="E86" s="71" t="s">
        <v>277</v>
      </c>
      <c r="F86" s="61"/>
      <c r="G86" s="62" t="s">
        <v>21</v>
      </c>
      <c r="H86" s="124">
        <v>565</v>
      </c>
    </row>
    <row r="87" spans="1:11" ht="25.5">
      <c r="A87" s="145"/>
      <c r="B87" s="35"/>
      <c r="C87" s="66"/>
      <c r="D87" s="67"/>
      <c r="E87" s="65" t="s">
        <v>927</v>
      </c>
      <c r="F87" s="90">
        <v>565</v>
      </c>
      <c r="G87" s="62"/>
      <c r="H87" s="30"/>
      <c r="K87" s="120"/>
    </row>
    <row r="88" spans="1:11">
      <c r="A88" s="145"/>
      <c r="B88" s="35"/>
      <c r="C88" s="36"/>
      <c r="D88" s="37"/>
      <c r="E88" s="65"/>
      <c r="F88" s="90"/>
      <c r="G88" s="40"/>
      <c r="H88" s="30"/>
    </row>
    <row r="89" spans="1:11" ht="25.5">
      <c r="A89" s="34">
        <f>MAX(A$1:A88)+1</f>
        <v>7</v>
      </c>
      <c r="B89" s="35"/>
      <c r="C89" s="36" t="s">
        <v>125</v>
      </c>
      <c r="D89" s="37"/>
      <c r="E89" s="38" t="s">
        <v>126</v>
      </c>
      <c r="F89" s="39"/>
      <c r="G89" s="40" t="s">
        <v>21</v>
      </c>
      <c r="H89" s="128">
        <v>360</v>
      </c>
    </row>
    <row r="90" spans="1:11" ht="25.5">
      <c r="A90" s="145"/>
      <c r="B90" s="35"/>
      <c r="C90" s="66"/>
      <c r="D90" s="67" t="s">
        <v>127</v>
      </c>
      <c r="E90" s="71" t="s">
        <v>128</v>
      </c>
      <c r="F90" s="61"/>
      <c r="G90" s="62" t="s">
        <v>21</v>
      </c>
      <c r="H90" s="124">
        <v>360</v>
      </c>
    </row>
    <row r="91" spans="1:11" ht="25.5">
      <c r="A91" s="145"/>
      <c r="B91" s="35"/>
      <c r="C91" s="36"/>
      <c r="D91" s="37"/>
      <c r="E91" s="65" t="s">
        <v>928</v>
      </c>
      <c r="F91" s="90">
        <v>360</v>
      </c>
      <c r="G91" s="40"/>
      <c r="H91" s="30"/>
    </row>
    <row r="92" spans="1:11">
      <c r="A92" s="145"/>
      <c r="B92" s="35"/>
      <c r="C92" s="36"/>
      <c r="D92" s="37"/>
      <c r="E92" s="65"/>
      <c r="F92" s="90"/>
      <c r="G92" s="40"/>
      <c r="H92" s="30"/>
    </row>
    <row r="93" spans="1:11" ht="38.25">
      <c r="A93" s="34">
        <f>MAX(A$1:A92)+1</f>
        <v>8</v>
      </c>
      <c r="B93" s="35"/>
      <c r="C93" s="36" t="s">
        <v>133</v>
      </c>
      <c r="D93" s="37"/>
      <c r="E93" s="38" t="s">
        <v>134</v>
      </c>
      <c r="F93" s="39"/>
      <c r="G93" s="40" t="s">
        <v>21</v>
      </c>
      <c r="H93" s="128">
        <v>6475.2</v>
      </c>
      <c r="I93" s="695"/>
    </row>
    <row r="94" spans="1:11" ht="38.25">
      <c r="A94" s="145"/>
      <c r="B94" s="35"/>
      <c r="C94" s="36"/>
      <c r="D94" s="67" t="s">
        <v>468</v>
      </c>
      <c r="E94" s="71" t="s">
        <v>469</v>
      </c>
      <c r="F94" s="61"/>
      <c r="G94" s="62" t="s">
        <v>21</v>
      </c>
      <c r="H94" s="124">
        <v>290</v>
      </c>
    </row>
    <row r="95" spans="1:11" ht="25.5">
      <c r="A95" s="145"/>
      <c r="B95" s="35"/>
      <c r="C95" s="36"/>
      <c r="D95" s="37"/>
      <c r="E95" s="65" t="s">
        <v>929</v>
      </c>
      <c r="F95" s="90">
        <v>290</v>
      </c>
      <c r="G95" s="40"/>
      <c r="H95" s="128"/>
    </row>
    <row r="96" spans="1:11" ht="38.25">
      <c r="A96" s="145"/>
      <c r="B96" s="35"/>
      <c r="C96" s="36"/>
      <c r="D96" s="67" t="s">
        <v>230</v>
      </c>
      <c r="E96" s="71" t="s">
        <v>231</v>
      </c>
      <c r="F96" s="61"/>
      <c r="G96" s="62" t="s">
        <v>21</v>
      </c>
      <c r="H96" s="124">
        <v>6185.2</v>
      </c>
    </row>
    <row r="97" spans="1:11" ht="25.5">
      <c r="A97" s="145"/>
      <c r="B97" s="35"/>
      <c r="C97" s="36"/>
      <c r="D97" s="37"/>
      <c r="E97" s="65" t="s">
        <v>930</v>
      </c>
      <c r="F97" s="90">
        <v>618</v>
      </c>
      <c r="G97" s="40"/>
      <c r="H97" s="30"/>
    </row>
    <row r="98" spans="1:11" ht="25.5">
      <c r="A98" s="145"/>
      <c r="B98" s="35"/>
      <c r="C98" s="36"/>
      <c r="D98" s="37"/>
      <c r="E98" s="65" t="s">
        <v>931</v>
      </c>
      <c r="F98" s="138">
        <v>5567.2</v>
      </c>
      <c r="G98" s="40"/>
      <c r="H98" s="30"/>
    </row>
    <row r="99" spans="1:11">
      <c r="A99" s="145"/>
      <c r="B99" s="35"/>
      <c r="C99" s="36"/>
      <c r="D99" s="37"/>
      <c r="E99" s="65"/>
      <c r="F99" s="90">
        <f>SUM(F97:F98)</f>
        <v>6185.2</v>
      </c>
      <c r="G99" s="40"/>
      <c r="H99" s="30"/>
      <c r="K99" s="120"/>
    </row>
    <row r="100" spans="1:11">
      <c r="A100" s="145"/>
      <c r="B100" s="35"/>
      <c r="C100" s="36"/>
      <c r="D100" s="37"/>
      <c r="E100" s="65"/>
      <c r="F100" s="90"/>
      <c r="G100" s="40"/>
      <c r="H100" s="30"/>
    </row>
    <row r="101" spans="1:11" ht="38.25">
      <c r="A101" s="34">
        <f>MAX(A$1:A100)+1</f>
        <v>9</v>
      </c>
      <c r="B101" s="35"/>
      <c r="C101" s="36" t="s">
        <v>799</v>
      </c>
      <c r="D101" s="37"/>
      <c r="E101" s="38" t="s">
        <v>800</v>
      </c>
      <c r="F101" s="39"/>
      <c r="G101" s="40" t="s">
        <v>36</v>
      </c>
      <c r="H101" s="128">
        <v>7</v>
      </c>
    </row>
    <row r="102" spans="1:11" ht="25.5">
      <c r="A102" s="145"/>
      <c r="B102" s="35"/>
      <c r="C102" s="36"/>
      <c r="D102" s="67" t="s">
        <v>801</v>
      </c>
      <c r="E102" s="71" t="s">
        <v>802</v>
      </c>
      <c r="F102" s="61"/>
      <c r="G102" s="62" t="s">
        <v>36</v>
      </c>
      <c r="H102" s="124">
        <v>7</v>
      </c>
    </row>
    <row r="103" spans="1:11" ht="25.5">
      <c r="A103" s="145"/>
      <c r="B103" s="35"/>
      <c r="C103" s="36"/>
      <c r="D103" s="37"/>
      <c r="E103" s="65" t="s">
        <v>932</v>
      </c>
      <c r="F103" s="90">
        <v>7</v>
      </c>
      <c r="G103" s="40"/>
      <c r="H103" s="30"/>
    </row>
    <row r="104" spans="1:11">
      <c r="A104" s="145"/>
      <c r="B104" s="35"/>
      <c r="C104" s="36"/>
      <c r="D104" s="37"/>
      <c r="E104" s="65"/>
      <c r="F104" s="90"/>
      <c r="G104" s="40"/>
      <c r="H104" s="30"/>
    </row>
    <row r="105" spans="1:11" ht="38.25">
      <c r="A105" s="34">
        <f>MAX(A$1:A104)+1</f>
        <v>10</v>
      </c>
      <c r="B105" s="35"/>
      <c r="C105" s="36" t="s">
        <v>455</v>
      </c>
      <c r="D105" s="37"/>
      <c r="E105" s="38" t="s">
        <v>456</v>
      </c>
      <c r="F105" s="39"/>
      <c r="G105" s="40" t="s">
        <v>36</v>
      </c>
      <c r="H105" s="128">
        <v>2168</v>
      </c>
      <c r="I105" s="695"/>
    </row>
    <row r="106" spans="1:11" ht="25.5">
      <c r="A106" s="145"/>
      <c r="B106" s="35"/>
      <c r="C106" s="66"/>
      <c r="D106" s="67" t="s">
        <v>933</v>
      </c>
      <c r="E106" s="71" t="s">
        <v>934</v>
      </c>
      <c r="F106" s="61"/>
      <c r="G106" s="62" t="s">
        <v>36</v>
      </c>
      <c r="H106" s="124">
        <v>480</v>
      </c>
    </row>
    <row r="107" spans="1:11" ht="25.5">
      <c r="A107" s="145"/>
      <c r="B107" s="35"/>
      <c r="C107" s="66"/>
      <c r="D107" s="67"/>
      <c r="E107" s="65" t="s">
        <v>935</v>
      </c>
      <c r="F107" s="46">
        <v>480</v>
      </c>
      <c r="G107" s="62"/>
      <c r="H107" s="30"/>
    </row>
    <row r="108" spans="1:11" ht="25.5">
      <c r="A108" s="145"/>
      <c r="B108" s="35"/>
      <c r="C108" s="66"/>
      <c r="D108" s="67" t="s">
        <v>560</v>
      </c>
      <c r="E108" s="71" t="s">
        <v>803</v>
      </c>
      <c r="F108" s="61"/>
      <c r="G108" s="62" t="s">
        <v>36</v>
      </c>
      <c r="H108" s="124">
        <v>1688</v>
      </c>
    </row>
    <row r="109" spans="1:11" ht="25.5">
      <c r="A109" s="145"/>
      <c r="B109" s="35"/>
      <c r="C109" s="36"/>
      <c r="D109" s="37"/>
      <c r="E109" s="65" t="s">
        <v>936</v>
      </c>
      <c r="F109" s="90">
        <v>1688</v>
      </c>
      <c r="G109" s="40"/>
      <c r="H109" s="30"/>
    </row>
    <row r="110" spans="1:11">
      <c r="A110" s="145"/>
      <c r="B110" s="35"/>
      <c r="C110" s="36"/>
      <c r="D110" s="37"/>
      <c r="E110" s="65"/>
      <c r="F110" s="90"/>
      <c r="G110" s="40"/>
      <c r="H110" s="30"/>
      <c r="K110" s="120"/>
    </row>
    <row r="111" spans="1:11" ht="38.25">
      <c r="A111" s="34">
        <f>MAX(A$1:A110)+1</f>
        <v>11</v>
      </c>
      <c r="B111" s="35"/>
      <c r="C111" s="36" t="s">
        <v>32</v>
      </c>
      <c r="D111" s="37"/>
      <c r="E111" s="38" t="s">
        <v>232</v>
      </c>
      <c r="F111" s="39"/>
      <c r="G111" s="40" t="s">
        <v>33</v>
      </c>
      <c r="H111" s="128">
        <v>18</v>
      </c>
    </row>
    <row r="112" spans="1:11" ht="25.5">
      <c r="A112" s="145"/>
      <c r="B112" s="35"/>
      <c r="C112" s="36"/>
      <c r="D112" s="37"/>
      <c r="E112" s="65" t="s">
        <v>937</v>
      </c>
      <c r="F112" s="90">
        <v>12</v>
      </c>
      <c r="G112" s="40"/>
      <c r="H112" s="30"/>
    </row>
    <row r="113" spans="1:9" ht="25.5">
      <c r="A113" s="145"/>
      <c r="B113" s="35"/>
      <c r="C113" s="36"/>
      <c r="D113" s="37"/>
      <c r="E113" s="65" t="s">
        <v>938</v>
      </c>
      <c r="F113" s="138">
        <v>6</v>
      </c>
      <c r="G113" s="40"/>
      <c r="H113" s="30"/>
    </row>
    <row r="114" spans="1:9">
      <c r="A114" s="145"/>
      <c r="B114" s="35"/>
      <c r="C114" s="36"/>
      <c r="D114" s="37"/>
      <c r="E114" s="65"/>
      <c r="F114" s="90">
        <f>SUM(F112:F113)</f>
        <v>18</v>
      </c>
      <c r="G114" s="40"/>
      <c r="H114" s="30"/>
    </row>
    <row r="115" spans="1:9" ht="18.75">
      <c r="A115" s="145"/>
      <c r="B115" s="35"/>
      <c r="C115" s="36"/>
      <c r="D115" s="37"/>
      <c r="E115" s="65"/>
      <c r="F115" s="90"/>
      <c r="G115" s="40"/>
      <c r="H115" s="30"/>
      <c r="I115" s="696"/>
    </row>
    <row r="116" spans="1:9">
      <c r="A116" s="34">
        <f>MAX(A$1:A115)+1</f>
        <v>12</v>
      </c>
      <c r="B116" s="35"/>
      <c r="C116" s="36" t="s">
        <v>37</v>
      </c>
      <c r="D116" s="37"/>
      <c r="E116" s="38" t="s">
        <v>38</v>
      </c>
      <c r="F116" s="39"/>
      <c r="G116" s="40" t="s">
        <v>15</v>
      </c>
      <c r="H116" s="1326">
        <v>4749.0200000000004</v>
      </c>
      <c r="I116" s="695"/>
    </row>
    <row r="117" spans="1:9">
      <c r="A117" s="145"/>
      <c r="B117" s="35"/>
      <c r="C117" s="36"/>
      <c r="D117" s="67" t="s">
        <v>39</v>
      </c>
      <c r="E117" s="71" t="s">
        <v>40</v>
      </c>
      <c r="F117" s="61"/>
      <c r="G117" s="62" t="s">
        <v>15</v>
      </c>
      <c r="H117" s="1327">
        <v>4749.0200000000004</v>
      </c>
    </row>
    <row r="118" spans="1:9">
      <c r="A118" s="145"/>
      <c r="B118" s="35"/>
      <c r="C118" s="36"/>
      <c r="D118" s="67"/>
      <c r="E118" s="84" t="s">
        <v>71</v>
      </c>
      <c r="F118" s="61"/>
      <c r="G118" s="62"/>
      <c r="H118" s="30"/>
    </row>
    <row r="119" spans="1:9" ht="25.5">
      <c r="A119" s="145"/>
      <c r="B119" s="35"/>
      <c r="C119" s="36"/>
      <c r="D119" s="67"/>
      <c r="E119" s="65" t="s">
        <v>939</v>
      </c>
      <c r="F119" s="46">
        <f>F72*0.44</f>
        <v>23.32</v>
      </c>
      <c r="G119" s="62"/>
      <c r="H119" s="30"/>
    </row>
    <row r="120" spans="1:9" ht="26.25">
      <c r="A120" s="145"/>
      <c r="B120" s="35"/>
      <c r="C120" s="36"/>
      <c r="D120" s="67"/>
      <c r="E120" s="68" t="s">
        <v>940</v>
      </c>
      <c r="F120" s="46">
        <f>F74*0.66</f>
        <v>158.4</v>
      </c>
      <c r="G120" s="62"/>
      <c r="H120" s="30"/>
    </row>
    <row r="121" spans="1:9" ht="25.5">
      <c r="A121" s="145"/>
      <c r="B121" s="35"/>
      <c r="C121" s="36"/>
      <c r="D121" s="67"/>
      <c r="E121" s="65" t="s">
        <v>941</v>
      </c>
      <c r="F121" s="46">
        <f>F78*0.288</f>
        <v>33.119999999999997</v>
      </c>
      <c r="G121" s="62"/>
      <c r="H121" s="30"/>
    </row>
    <row r="122" spans="1:9" ht="25.5">
      <c r="A122" s="145"/>
      <c r="B122" s="35"/>
      <c r="C122" s="36"/>
      <c r="D122" s="67"/>
      <c r="E122" s="65" t="s">
        <v>942</v>
      </c>
      <c r="F122" s="90">
        <f>F79*0.288</f>
        <v>50.4</v>
      </c>
      <c r="G122" s="62"/>
      <c r="H122" s="30"/>
    </row>
    <row r="123" spans="1:9" ht="26.25">
      <c r="A123" s="145"/>
      <c r="B123" s="35"/>
      <c r="C123" s="36"/>
      <c r="D123" s="67"/>
      <c r="E123" s="68" t="s">
        <v>943</v>
      </c>
      <c r="F123" s="90">
        <f>F80*0.288</f>
        <v>13.823999999999998</v>
      </c>
      <c r="G123" s="62"/>
      <c r="H123" s="30"/>
    </row>
    <row r="124" spans="1:9" ht="25.5">
      <c r="A124" s="145"/>
      <c r="B124" s="35"/>
      <c r="C124" s="36"/>
      <c r="D124" s="67"/>
      <c r="E124" s="65" t="s">
        <v>944</v>
      </c>
      <c r="F124" s="90">
        <f>F85*0.22</f>
        <v>1530.98</v>
      </c>
      <c r="G124" s="62"/>
      <c r="H124" s="30"/>
    </row>
    <row r="125" spans="1:9" ht="25.5">
      <c r="A125" s="145"/>
      <c r="B125" s="35"/>
      <c r="C125" s="36"/>
      <c r="D125" s="67"/>
      <c r="E125" s="65" t="s">
        <v>945</v>
      </c>
      <c r="F125" s="90">
        <f>F87*0.44</f>
        <v>248.6</v>
      </c>
      <c r="G125" s="62"/>
      <c r="H125" s="30"/>
    </row>
    <row r="126" spans="1:9" ht="25.5">
      <c r="A126" s="145"/>
      <c r="B126" s="35"/>
      <c r="C126" s="36"/>
      <c r="D126" s="67"/>
      <c r="E126" s="65" t="s">
        <v>946</v>
      </c>
      <c r="F126" s="90">
        <f>F91*0.45</f>
        <v>162</v>
      </c>
      <c r="G126" s="62"/>
      <c r="H126" s="30"/>
    </row>
    <row r="127" spans="1:9" ht="25.5">
      <c r="A127" s="145"/>
      <c r="B127" s="35"/>
      <c r="C127" s="36"/>
      <c r="D127" s="67"/>
      <c r="E127" s="65" t="s">
        <v>947</v>
      </c>
      <c r="F127" s="90">
        <f>F95*0.13</f>
        <v>37.700000000000003</v>
      </c>
      <c r="G127" s="62"/>
      <c r="H127" s="30"/>
    </row>
    <row r="128" spans="1:9" ht="25.5">
      <c r="A128" s="145"/>
      <c r="B128" s="35"/>
      <c r="C128" s="36"/>
      <c r="D128" s="67"/>
      <c r="E128" s="65" t="s">
        <v>948</v>
      </c>
      <c r="F128" s="90">
        <f>F97*0.235</f>
        <v>145.22999999999999</v>
      </c>
      <c r="G128" s="62"/>
      <c r="H128" s="30"/>
    </row>
    <row r="129" spans="1:12" ht="38.25">
      <c r="A129" s="145"/>
      <c r="B129" s="35"/>
      <c r="C129" s="36"/>
      <c r="D129" s="67"/>
      <c r="E129" s="65" t="s">
        <v>949</v>
      </c>
      <c r="F129" s="90">
        <f>F98*0.235</f>
        <v>1308.2919999999999</v>
      </c>
      <c r="G129" s="62"/>
      <c r="H129" s="30"/>
    </row>
    <row r="130" spans="1:12" ht="25.5">
      <c r="A130" s="145"/>
      <c r="B130" s="35"/>
      <c r="C130" s="36"/>
      <c r="D130" s="67"/>
      <c r="E130" s="65" t="s">
        <v>950</v>
      </c>
      <c r="F130" s="90">
        <f>F103*0.24</f>
        <v>1.68</v>
      </c>
      <c r="G130" s="62"/>
      <c r="H130" s="30"/>
    </row>
    <row r="131" spans="1:12" ht="25.5">
      <c r="A131" s="145"/>
      <c r="B131" s="35"/>
      <c r="C131" s="36"/>
      <c r="D131" s="67"/>
      <c r="E131" s="65" t="s">
        <v>951</v>
      </c>
      <c r="F131" s="46">
        <f>F107*0.23</f>
        <v>110.4</v>
      </c>
      <c r="G131" s="62"/>
      <c r="H131" s="30"/>
    </row>
    <row r="132" spans="1:12" ht="25.5">
      <c r="A132" s="145"/>
      <c r="B132" s="35"/>
      <c r="C132" s="36"/>
      <c r="D132" s="67"/>
      <c r="E132" s="65" t="s">
        <v>952</v>
      </c>
      <c r="F132" s="90">
        <f>F109*0.04</f>
        <v>67.52</v>
      </c>
      <c r="G132" s="62"/>
      <c r="H132" s="30"/>
    </row>
    <row r="133" spans="1:12" ht="26.25">
      <c r="A133" s="145"/>
      <c r="B133" s="35"/>
      <c r="C133" s="36"/>
      <c r="D133" s="67"/>
      <c r="E133" s="68" t="s">
        <v>953</v>
      </c>
      <c r="F133" s="90">
        <f>F148*0.051</f>
        <v>215.16899999999998</v>
      </c>
      <c r="G133" s="62"/>
      <c r="H133" s="30"/>
    </row>
    <row r="134" spans="1:12" ht="25.5">
      <c r="A134" s="145"/>
      <c r="B134" s="35"/>
      <c r="C134" s="36"/>
      <c r="D134" s="67"/>
      <c r="E134" s="65" t="s">
        <v>954</v>
      </c>
      <c r="F134" s="90">
        <f>F150*0.102</f>
        <v>249.89999999999998</v>
      </c>
      <c r="G134" s="62"/>
      <c r="H134" s="30"/>
    </row>
    <row r="135" spans="1:12" ht="26.25">
      <c r="A135" s="145"/>
      <c r="B135" s="35"/>
      <c r="C135" s="36"/>
      <c r="D135" s="67"/>
      <c r="E135" s="68" t="s">
        <v>955</v>
      </c>
      <c r="F135" s="90">
        <f>F152*0.153</f>
        <v>390.15</v>
      </c>
      <c r="G135" s="62"/>
      <c r="H135" s="30"/>
    </row>
    <row r="136" spans="1:12" ht="39">
      <c r="A136" s="145"/>
      <c r="B136" s="35"/>
      <c r="C136" s="36"/>
      <c r="D136" s="67"/>
      <c r="E136" s="1320" t="s">
        <v>3186</v>
      </c>
      <c r="F136" s="1321">
        <f>F156*0.004</f>
        <v>0.47200000000000003</v>
      </c>
      <c r="G136" s="62"/>
      <c r="H136" s="30"/>
    </row>
    <row r="137" spans="1:12" ht="39">
      <c r="A137" s="145"/>
      <c r="B137" s="35"/>
      <c r="C137" s="36"/>
      <c r="D137" s="67"/>
      <c r="E137" s="1320" t="s">
        <v>3187</v>
      </c>
      <c r="F137" s="1324">
        <f>97*0.004</f>
        <v>0.38800000000000001</v>
      </c>
      <c r="G137" s="62"/>
      <c r="H137" s="30"/>
    </row>
    <row r="138" spans="1:12">
      <c r="A138" s="145"/>
      <c r="B138" s="35"/>
      <c r="C138" s="36"/>
      <c r="D138" s="67"/>
      <c r="E138" s="65"/>
      <c r="F138" s="1321">
        <f>SUM(F119:F137)</f>
        <v>4747.5449999999992</v>
      </c>
      <c r="G138" s="62"/>
      <c r="H138" s="30"/>
    </row>
    <row r="139" spans="1:12">
      <c r="A139" s="145"/>
      <c r="B139" s="35"/>
      <c r="C139" s="36"/>
      <c r="D139" s="67"/>
      <c r="E139" s="65"/>
      <c r="F139" s="90"/>
      <c r="G139" s="62"/>
      <c r="H139" s="30"/>
    </row>
    <row r="140" spans="1:12">
      <c r="A140" s="145"/>
      <c r="B140" s="35"/>
      <c r="C140" s="36"/>
      <c r="D140" s="67"/>
      <c r="E140" s="84" t="s">
        <v>142</v>
      </c>
      <c r="F140" s="90"/>
      <c r="G140" s="62"/>
      <c r="H140" s="30"/>
    </row>
    <row r="141" spans="1:12" ht="25.5">
      <c r="A141" s="145"/>
      <c r="B141" s="35"/>
      <c r="C141" s="36"/>
      <c r="D141" s="67"/>
      <c r="E141" s="65" t="s">
        <v>956</v>
      </c>
      <c r="F141" s="90">
        <f>F112*0.082</f>
        <v>0.98399999999999999</v>
      </c>
      <c r="G141" s="62"/>
      <c r="H141" s="30"/>
    </row>
    <row r="142" spans="1:12" ht="25.5">
      <c r="A142" s="145"/>
      <c r="B142" s="35"/>
      <c r="C142" s="36"/>
      <c r="D142" s="67"/>
      <c r="E142" s="65" t="s">
        <v>957</v>
      </c>
      <c r="F142" s="138">
        <f>F113*0.082</f>
        <v>0.49199999999999999</v>
      </c>
      <c r="G142" s="62"/>
      <c r="H142" s="30"/>
    </row>
    <row r="143" spans="1:12">
      <c r="A143" s="145"/>
      <c r="B143" s="35"/>
      <c r="C143" s="36"/>
      <c r="D143" s="67"/>
      <c r="E143" s="65"/>
      <c r="F143" s="90">
        <f>SUM(F141:F142)</f>
        <v>1.476</v>
      </c>
      <c r="G143" s="62"/>
      <c r="H143" s="30"/>
    </row>
    <row r="144" spans="1:12">
      <c r="A144" s="145"/>
      <c r="B144" s="35"/>
      <c r="C144" s="36"/>
      <c r="D144" s="67"/>
      <c r="E144" s="91" t="s">
        <v>41</v>
      </c>
      <c r="F144" s="1328">
        <f>F138+F143</f>
        <v>4749.0209999999988</v>
      </c>
      <c r="G144" s="62"/>
      <c r="H144" s="30"/>
      <c r="L144" s="120"/>
    </row>
    <row r="145" spans="1:21">
      <c r="A145" s="145"/>
      <c r="B145" s="35"/>
      <c r="C145" s="36"/>
      <c r="D145" s="67"/>
      <c r="E145" s="65"/>
      <c r="F145" s="90"/>
      <c r="G145" s="62"/>
      <c r="H145" s="30"/>
    </row>
    <row r="146" spans="1:21" ht="25.5">
      <c r="A146" s="34">
        <f>MAX(A$1:A145)+1</f>
        <v>13</v>
      </c>
      <c r="B146" s="35"/>
      <c r="C146" s="36" t="s">
        <v>42</v>
      </c>
      <c r="D146" s="37"/>
      <c r="E146" s="38" t="s">
        <v>43</v>
      </c>
      <c r="F146" s="39"/>
      <c r="G146" s="40" t="s">
        <v>21</v>
      </c>
      <c r="H146" s="128">
        <v>9219</v>
      </c>
      <c r="I146" s="695"/>
    </row>
    <row r="147" spans="1:21" ht="25.5">
      <c r="A147" s="145"/>
      <c r="B147" s="35"/>
      <c r="C147" s="36"/>
      <c r="D147" s="67" t="s">
        <v>958</v>
      </c>
      <c r="E147" s="71" t="s">
        <v>959</v>
      </c>
      <c r="F147" s="61"/>
      <c r="G147" s="62" t="s">
        <v>21</v>
      </c>
      <c r="H147" s="124">
        <v>4219</v>
      </c>
    </row>
    <row r="148" spans="1:21" ht="17.25" customHeight="1">
      <c r="A148" s="145"/>
      <c r="B148" s="35"/>
      <c r="C148" s="36"/>
      <c r="D148" s="37"/>
      <c r="E148" s="68" t="s">
        <v>960</v>
      </c>
      <c r="F148" s="90">
        <v>4219</v>
      </c>
      <c r="G148" s="40"/>
      <c r="H148" s="128"/>
    </row>
    <row r="149" spans="1:21" ht="25.5">
      <c r="A149" s="145"/>
      <c r="B149" s="35"/>
      <c r="C149" s="36"/>
      <c r="D149" s="67" t="s">
        <v>349</v>
      </c>
      <c r="E149" s="71" t="s">
        <v>350</v>
      </c>
      <c r="F149" s="61"/>
      <c r="G149" s="62" t="s">
        <v>21</v>
      </c>
      <c r="H149" s="124">
        <v>2450</v>
      </c>
    </row>
    <row r="150" spans="1:21">
      <c r="A150" s="145"/>
      <c r="B150" s="35"/>
      <c r="C150" s="36"/>
      <c r="D150" s="37"/>
      <c r="E150" s="65" t="s">
        <v>961</v>
      </c>
      <c r="F150" s="90">
        <v>2450</v>
      </c>
      <c r="G150" s="40"/>
      <c r="H150" s="128"/>
    </row>
    <row r="151" spans="1:21" ht="25.5">
      <c r="A151" s="145"/>
      <c r="B151" s="35"/>
      <c r="C151" s="36"/>
      <c r="D151" s="67" t="s">
        <v>750</v>
      </c>
      <c r="E151" s="71" t="s">
        <v>751</v>
      </c>
      <c r="F151" s="61"/>
      <c r="G151" s="62" t="s">
        <v>21</v>
      </c>
      <c r="H151" s="124">
        <v>2550</v>
      </c>
    </row>
    <row r="152" spans="1:21" ht="18.75" customHeight="1">
      <c r="A152" s="145"/>
      <c r="B152" s="35"/>
      <c r="C152" s="36"/>
      <c r="D152" s="37"/>
      <c r="E152" s="68" t="s">
        <v>962</v>
      </c>
      <c r="F152" s="90">
        <v>2550</v>
      </c>
      <c r="G152" s="40"/>
      <c r="H152" s="30"/>
      <c r="K152" s="120"/>
    </row>
    <row r="153" spans="1:21" ht="18.75" customHeight="1">
      <c r="A153" s="145"/>
      <c r="B153" s="35"/>
      <c r="C153" s="36"/>
      <c r="D153" s="37"/>
      <c r="E153" s="68"/>
      <c r="F153" s="90"/>
      <c r="G153" s="40"/>
      <c r="H153" s="30"/>
      <c r="K153" s="120"/>
    </row>
    <row r="154" spans="1:21" ht="25.5">
      <c r="A154" s="1319">
        <f>MAX(A$1:A153)+1</f>
        <v>14</v>
      </c>
      <c r="B154" s="35"/>
      <c r="C154" s="1310" t="s">
        <v>3180</v>
      </c>
      <c r="D154" s="1311"/>
      <c r="E154" s="1312" t="s">
        <v>3181</v>
      </c>
      <c r="F154" s="303"/>
      <c r="G154" s="1313" t="s">
        <v>21</v>
      </c>
      <c r="H154" s="1322">
        <v>118</v>
      </c>
      <c r="K154" s="120"/>
    </row>
    <row r="155" spans="1:21" ht="25.5">
      <c r="A155" s="145"/>
      <c r="B155" s="35"/>
      <c r="C155" s="36"/>
      <c r="D155" s="1315" t="s">
        <v>3182</v>
      </c>
      <c r="E155" s="1316" t="s">
        <v>3183</v>
      </c>
      <c r="F155" s="1317"/>
      <c r="G155" s="1318" t="s">
        <v>21</v>
      </c>
      <c r="H155" s="1323">
        <v>118</v>
      </c>
      <c r="K155" s="120"/>
    </row>
    <row r="156" spans="1:21" ht="26.25">
      <c r="A156" s="145"/>
      <c r="B156" s="35"/>
      <c r="C156" s="36"/>
      <c r="D156" s="37"/>
      <c r="E156" s="1320" t="s">
        <v>3184</v>
      </c>
      <c r="F156" s="1321">
        <v>118</v>
      </c>
      <c r="G156" s="40"/>
      <c r="H156" s="30"/>
      <c r="K156" s="120"/>
    </row>
    <row r="157" spans="1:21" ht="18.75" customHeight="1">
      <c r="A157" s="145"/>
      <c r="B157" s="35"/>
      <c r="C157" s="36"/>
      <c r="D157" s="37"/>
      <c r="E157" s="68"/>
      <c r="F157" s="90"/>
      <c r="G157" s="40"/>
      <c r="H157" s="30"/>
      <c r="K157" s="120"/>
    </row>
    <row r="158" spans="1:21" ht="25.5">
      <c r="A158" s="1319">
        <f>MAX(A$1:A157)+1</f>
        <v>15</v>
      </c>
      <c r="B158" s="73"/>
      <c r="C158" s="1310" t="s">
        <v>3178</v>
      </c>
      <c r="D158" s="1311"/>
      <c r="E158" s="1312" t="s">
        <v>3179</v>
      </c>
      <c r="F158" s="303"/>
      <c r="G158" s="1313" t="s">
        <v>21</v>
      </c>
      <c r="H158" s="1322">
        <v>97</v>
      </c>
      <c r="I158"/>
      <c r="U158"/>
    </row>
    <row r="159" spans="1:21" ht="25.5">
      <c r="A159" s="72"/>
      <c r="B159" s="73"/>
      <c r="C159" s="1314"/>
      <c r="D159" s="1315" t="s">
        <v>3188</v>
      </c>
      <c r="E159" s="1316" t="s">
        <v>3189</v>
      </c>
      <c r="F159" s="1317"/>
      <c r="G159" s="1318" t="s">
        <v>21</v>
      </c>
      <c r="H159" s="1323">
        <v>97</v>
      </c>
      <c r="I159"/>
      <c r="U159"/>
    </row>
    <row r="160" spans="1:21" ht="26.25">
      <c r="A160" s="145"/>
      <c r="B160" s="35"/>
      <c r="C160" s="36"/>
      <c r="D160" s="37"/>
      <c r="E160" s="1320" t="s">
        <v>3185</v>
      </c>
      <c r="F160" s="1321">
        <v>97</v>
      </c>
      <c r="G160" s="40"/>
      <c r="H160" s="30"/>
      <c r="K160" s="120"/>
    </row>
    <row r="161" spans="1:11" ht="18.75" customHeight="1">
      <c r="A161" s="145"/>
      <c r="B161" s="35"/>
      <c r="C161" s="36"/>
      <c r="D161" s="37"/>
      <c r="E161" s="68"/>
      <c r="F161" s="90"/>
      <c r="G161" s="40"/>
      <c r="H161" s="30"/>
    </row>
    <row r="162" spans="1:11" ht="25.5">
      <c r="A162" s="34">
        <f>MAX(A$1:A161)+1</f>
        <v>16</v>
      </c>
      <c r="B162" s="35"/>
      <c r="C162" s="36" t="s">
        <v>280</v>
      </c>
      <c r="D162" s="37"/>
      <c r="E162" s="38" t="s">
        <v>281</v>
      </c>
      <c r="F162" s="39"/>
      <c r="G162" s="40" t="s">
        <v>36</v>
      </c>
      <c r="H162" s="128">
        <v>212</v>
      </c>
      <c r="I162" s="695"/>
    </row>
    <row r="163" spans="1:11" ht="25.5">
      <c r="A163" s="145"/>
      <c r="B163" s="35"/>
      <c r="C163" s="66"/>
      <c r="D163" s="67" t="s">
        <v>470</v>
      </c>
      <c r="E163" s="71" t="s">
        <v>471</v>
      </c>
      <c r="F163" s="61"/>
      <c r="G163" s="62" t="s">
        <v>36</v>
      </c>
      <c r="H163" s="124">
        <v>7</v>
      </c>
    </row>
    <row r="164" spans="1:11" ht="18.75" customHeight="1">
      <c r="A164" s="145"/>
      <c r="B164" s="35"/>
      <c r="C164" s="36"/>
      <c r="D164" s="37"/>
      <c r="E164" s="68" t="s">
        <v>963</v>
      </c>
      <c r="F164" s="90">
        <v>7</v>
      </c>
      <c r="G164" s="40"/>
      <c r="H164" s="30"/>
    </row>
    <row r="165" spans="1:11" ht="25.5">
      <c r="A165" s="145"/>
      <c r="B165" s="35"/>
      <c r="C165" s="36"/>
      <c r="D165" s="67" t="s">
        <v>964</v>
      </c>
      <c r="E165" s="71" t="s">
        <v>965</v>
      </c>
      <c r="F165" s="61"/>
      <c r="G165" s="62" t="s">
        <v>36</v>
      </c>
      <c r="H165" s="124">
        <v>205</v>
      </c>
    </row>
    <row r="166" spans="1:11">
      <c r="A166" s="145"/>
      <c r="B166" s="35"/>
      <c r="C166" s="36"/>
      <c r="D166" s="37"/>
      <c r="E166" s="68" t="s">
        <v>966</v>
      </c>
      <c r="F166" s="90">
        <v>205</v>
      </c>
      <c r="G166" s="40"/>
      <c r="H166" s="30"/>
      <c r="K166" s="689"/>
    </row>
    <row r="167" spans="1:11" ht="18.75" customHeight="1">
      <c r="A167" s="145"/>
      <c r="B167" s="35"/>
      <c r="C167" s="36"/>
      <c r="D167" s="37"/>
      <c r="E167" s="68"/>
      <c r="F167" s="90"/>
      <c r="G167" s="40"/>
      <c r="H167" s="30"/>
    </row>
    <row r="168" spans="1:11" ht="25.5">
      <c r="A168" s="34">
        <f>MAX(A$1:A167)+1</f>
        <v>17</v>
      </c>
      <c r="B168" s="35"/>
      <c r="C168" s="36" t="s">
        <v>233</v>
      </c>
      <c r="D168" s="37"/>
      <c r="E168" s="38" t="s">
        <v>234</v>
      </c>
      <c r="F168" s="39"/>
      <c r="G168" s="40" t="s">
        <v>36</v>
      </c>
      <c r="H168" s="128">
        <v>2486</v>
      </c>
      <c r="I168" s="695"/>
    </row>
    <row r="169" spans="1:11" ht="25.5">
      <c r="A169" s="145"/>
      <c r="B169" s="35"/>
      <c r="C169" s="36"/>
      <c r="D169" s="67" t="s">
        <v>235</v>
      </c>
      <c r="E169" s="71" t="s">
        <v>236</v>
      </c>
      <c r="F169" s="61"/>
      <c r="G169" s="62" t="s">
        <v>36</v>
      </c>
      <c r="H169" s="124">
        <v>1406</v>
      </c>
      <c r="I169" s="697"/>
    </row>
    <row r="170" spans="1:11">
      <c r="A170" s="145"/>
      <c r="B170" s="35"/>
      <c r="C170" s="36"/>
      <c r="D170" s="37"/>
      <c r="E170" s="65" t="s">
        <v>967</v>
      </c>
      <c r="F170" s="90">
        <v>1406</v>
      </c>
      <c r="G170" s="40"/>
      <c r="H170" s="128"/>
      <c r="I170" s="695"/>
    </row>
    <row r="171" spans="1:11" ht="25.5">
      <c r="A171" s="145"/>
      <c r="B171" s="35"/>
      <c r="C171" s="36"/>
      <c r="D171" s="67" t="s">
        <v>449</v>
      </c>
      <c r="E171" s="71" t="s">
        <v>450</v>
      </c>
      <c r="F171" s="61"/>
      <c r="G171" s="62" t="s">
        <v>36</v>
      </c>
      <c r="H171" s="124">
        <v>690</v>
      </c>
    </row>
    <row r="172" spans="1:11">
      <c r="A172" s="145"/>
      <c r="B172" s="35"/>
      <c r="C172" s="36"/>
      <c r="D172" s="37"/>
      <c r="E172" s="68" t="s">
        <v>968</v>
      </c>
      <c r="F172" s="46">
        <v>690</v>
      </c>
      <c r="G172" s="40"/>
      <c r="H172" s="128"/>
    </row>
    <row r="173" spans="1:11" ht="25.5">
      <c r="A173" s="145"/>
      <c r="B173" s="35"/>
      <c r="C173" s="36"/>
      <c r="D173" s="67" t="s">
        <v>282</v>
      </c>
      <c r="E173" s="71" t="s">
        <v>283</v>
      </c>
      <c r="F173" s="61"/>
      <c r="G173" s="62" t="s">
        <v>36</v>
      </c>
      <c r="H173" s="124">
        <v>390</v>
      </c>
    </row>
    <row r="174" spans="1:11" ht="15" customHeight="1">
      <c r="A174" s="145"/>
      <c r="B174" s="35"/>
      <c r="C174" s="36"/>
      <c r="D174" s="37"/>
      <c r="E174" s="68" t="s">
        <v>969</v>
      </c>
      <c r="F174" s="90">
        <v>390</v>
      </c>
      <c r="G174" s="40"/>
      <c r="H174" s="30"/>
      <c r="K174" s="120"/>
    </row>
    <row r="175" spans="1:11">
      <c r="A175" s="145"/>
      <c r="B175" s="35"/>
      <c r="C175" s="36"/>
      <c r="D175" s="37"/>
      <c r="E175" s="68"/>
      <c r="F175" s="90"/>
      <c r="G175" s="40"/>
      <c r="H175" s="30"/>
    </row>
    <row r="176" spans="1:11">
      <c r="A176" s="145"/>
      <c r="B176" s="35" t="s">
        <v>44</v>
      </c>
      <c r="C176" s="93"/>
      <c r="D176" s="94"/>
      <c r="E176" s="96" t="s">
        <v>45</v>
      </c>
      <c r="F176" s="46"/>
      <c r="G176" s="40"/>
      <c r="H176" s="30"/>
    </row>
    <row r="177" spans="1:8">
      <c r="A177" s="145"/>
      <c r="B177" s="31"/>
      <c r="C177" s="36"/>
      <c r="D177" s="37"/>
      <c r="E177" s="38"/>
      <c r="F177" s="46"/>
      <c r="G177" s="40"/>
      <c r="H177" s="30"/>
    </row>
    <row r="178" spans="1:8">
      <c r="A178" s="34">
        <f>MAX(A$1:A177)+1</f>
        <v>18</v>
      </c>
      <c r="B178" s="31"/>
      <c r="C178" s="36" t="s">
        <v>284</v>
      </c>
      <c r="D178" s="37"/>
      <c r="E178" s="38" t="s">
        <v>285</v>
      </c>
      <c r="F178" s="39"/>
      <c r="G178" s="40" t="s">
        <v>21</v>
      </c>
      <c r="H178" s="128">
        <v>2465</v>
      </c>
    </row>
    <row r="179" spans="1:8">
      <c r="A179" s="145"/>
      <c r="B179" s="31"/>
      <c r="C179" s="66"/>
      <c r="D179" s="67" t="s">
        <v>286</v>
      </c>
      <c r="E179" s="71" t="s">
        <v>287</v>
      </c>
      <c r="F179" s="61"/>
      <c r="G179" s="62" t="s">
        <v>21</v>
      </c>
      <c r="H179" s="124">
        <v>2465</v>
      </c>
    </row>
    <row r="180" spans="1:8">
      <c r="A180" s="145"/>
      <c r="B180" s="31"/>
      <c r="C180" s="66"/>
      <c r="D180" s="67"/>
      <c r="E180" s="65" t="s">
        <v>970</v>
      </c>
      <c r="F180" s="90">
        <v>2465</v>
      </c>
      <c r="G180" s="62"/>
      <c r="H180" s="30"/>
    </row>
    <row r="181" spans="1:8">
      <c r="A181" s="145"/>
      <c r="B181" s="31"/>
      <c r="C181" s="66"/>
      <c r="D181" s="67"/>
      <c r="E181" s="71"/>
      <c r="F181" s="61"/>
      <c r="G181" s="62"/>
      <c r="H181" s="30"/>
    </row>
    <row r="182" spans="1:8">
      <c r="A182" s="34">
        <f>MAX(A$1:A181)+1</f>
        <v>19</v>
      </c>
      <c r="B182" s="89"/>
      <c r="C182" s="36" t="s">
        <v>50</v>
      </c>
      <c r="D182" s="37"/>
      <c r="E182" s="38" t="s">
        <v>51</v>
      </c>
      <c r="F182" s="39"/>
      <c r="G182" s="40" t="s">
        <v>18</v>
      </c>
      <c r="H182" s="128">
        <v>246.5</v>
      </c>
    </row>
    <row r="183" spans="1:8" ht="25.5">
      <c r="A183" s="145"/>
      <c r="B183" s="31"/>
      <c r="C183" s="66"/>
      <c r="D183" s="67" t="s">
        <v>288</v>
      </c>
      <c r="E183" s="71" t="s">
        <v>289</v>
      </c>
      <c r="F183" s="61"/>
      <c r="G183" s="62" t="s">
        <v>18</v>
      </c>
      <c r="H183" s="124">
        <v>246.5</v>
      </c>
    </row>
    <row r="184" spans="1:8" ht="25.5">
      <c r="A184" s="145"/>
      <c r="B184" s="31"/>
      <c r="C184" s="66"/>
      <c r="D184" s="67"/>
      <c r="E184" s="86" t="s">
        <v>971</v>
      </c>
      <c r="F184" s="46">
        <f>F180*0.1</f>
        <v>246.5</v>
      </c>
      <c r="G184" s="62"/>
      <c r="H184" s="30"/>
    </row>
    <row r="185" spans="1:8">
      <c r="A185" s="145"/>
      <c r="B185" s="31"/>
      <c r="C185" s="66"/>
      <c r="D185" s="67"/>
      <c r="E185" s="71"/>
      <c r="F185" s="61"/>
      <c r="G185" s="62"/>
      <c r="H185" s="30"/>
    </row>
    <row r="186" spans="1:8">
      <c r="A186" s="145"/>
      <c r="B186" s="35" t="s">
        <v>87</v>
      </c>
      <c r="C186" s="93"/>
      <c r="D186" s="94"/>
      <c r="E186" s="50" t="s">
        <v>88</v>
      </c>
      <c r="F186" s="81"/>
      <c r="G186" s="62"/>
      <c r="H186" s="30"/>
    </row>
    <row r="187" spans="1:8">
      <c r="A187" s="34"/>
      <c r="B187" s="256"/>
      <c r="C187" s="79"/>
      <c r="D187" s="67"/>
      <c r="E187" s="91"/>
      <c r="F187" s="81"/>
      <c r="G187" s="62"/>
      <c r="H187" s="30"/>
    </row>
    <row r="188" spans="1:8">
      <c r="A188" s="34">
        <f>MAX(A$1:A187)+1</f>
        <v>20</v>
      </c>
      <c r="B188" s="256"/>
      <c r="C188" s="36" t="s">
        <v>62</v>
      </c>
      <c r="D188" s="37"/>
      <c r="E188" s="38" t="s">
        <v>63</v>
      </c>
      <c r="F188" s="39"/>
      <c r="G188" s="40" t="s">
        <v>18</v>
      </c>
      <c r="H188" s="128">
        <v>174.75</v>
      </c>
    </row>
    <row r="189" spans="1:8" ht="25.5">
      <c r="A189" s="34"/>
      <c r="B189" s="256"/>
      <c r="C189" s="66"/>
      <c r="D189" s="67" t="s">
        <v>64</v>
      </c>
      <c r="E189" s="71" t="s">
        <v>89</v>
      </c>
      <c r="F189" s="61"/>
      <c r="G189" s="62" t="s">
        <v>18</v>
      </c>
      <c r="H189" s="124">
        <v>174.75</v>
      </c>
    </row>
    <row r="190" spans="1:8">
      <c r="A190" s="34"/>
      <c r="B190" s="256"/>
      <c r="C190" s="66"/>
      <c r="D190" s="67"/>
      <c r="E190" s="65" t="s">
        <v>972</v>
      </c>
      <c r="F190" s="46">
        <f>0.15*1165</f>
        <v>174.75</v>
      </c>
      <c r="G190" s="62"/>
      <c r="H190" s="30"/>
    </row>
    <row r="191" spans="1:8">
      <c r="A191" s="34"/>
      <c r="B191" s="256"/>
      <c r="C191" s="66"/>
      <c r="D191" s="67"/>
      <c r="E191" s="71"/>
      <c r="F191" s="61"/>
      <c r="G191" s="62"/>
      <c r="H191" s="30"/>
    </row>
    <row r="192" spans="1:8">
      <c r="A192" s="34">
        <f>MAX(A$1:A191)+1</f>
        <v>21</v>
      </c>
      <c r="B192" s="31"/>
      <c r="C192" s="36" t="s">
        <v>83</v>
      </c>
      <c r="D192" s="37"/>
      <c r="E192" s="38" t="s">
        <v>84</v>
      </c>
      <c r="F192" s="39"/>
      <c r="G192" s="40" t="s">
        <v>18</v>
      </c>
      <c r="H192" s="128">
        <v>174.75</v>
      </c>
    </row>
    <row r="193" spans="1:9" ht="25.5">
      <c r="A193" s="268"/>
      <c r="B193" s="31"/>
      <c r="C193" s="66"/>
      <c r="D193" s="67" t="s">
        <v>85</v>
      </c>
      <c r="E193" s="71" t="s">
        <v>86</v>
      </c>
      <c r="F193" s="61"/>
      <c r="G193" s="62" t="s">
        <v>18</v>
      </c>
      <c r="H193" s="124">
        <v>174.75</v>
      </c>
    </row>
    <row r="194" spans="1:9">
      <c r="A194" s="268"/>
      <c r="B194" s="31"/>
      <c r="C194" s="66"/>
      <c r="D194" s="67"/>
      <c r="E194" s="65" t="s">
        <v>623</v>
      </c>
      <c r="F194" s="46">
        <f>F190</f>
        <v>174.75</v>
      </c>
      <c r="G194" s="62"/>
      <c r="H194" s="30"/>
    </row>
    <row r="195" spans="1:9">
      <c r="A195" s="268"/>
      <c r="B195" s="31"/>
      <c r="C195" s="66"/>
      <c r="D195" s="67"/>
      <c r="E195" s="65"/>
      <c r="F195" s="68"/>
      <c r="G195" s="62"/>
      <c r="H195" s="30"/>
    </row>
    <row r="196" spans="1:9" ht="25.5">
      <c r="A196" s="34">
        <f>MAX(A$1:A195)+1</f>
        <v>22</v>
      </c>
      <c r="B196" s="31"/>
      <c r="C196" s="36" t="s">
        <v>90</v>
      </c>
      <c r="D196" s="37"/>
      <c r="E196" s="38" t="s">
        <v>91</v>
      </c>
      <c r="F196" s="39"/>
      <c r="G196" s="40" t="s">
        <v>21</v>
      </c>
      <c r="H196" s="128">
        <v>1165</v>
      </c>
    </row>
    <row r="197" spans="1:9" ht="25.5">
      <c r="A197" s="268"/>
      <c r="B197" s="31"/>
      <c r="C197" s="66"/>
      <c r="D197" s="67" t="s">
        <v>92</v>
      </c>
      <c r="E197" s="71" t="s">
        <v>93</v>
      </c>
      <c r="F197" s="61"/>
      <c r="G197" s="62" t="s">
        <v>21</v>
      </c>
      <c r="H197" s="124">
        <v>1165</v>
      </c>
    </row>
    <row r="198" spans="1:9">
      <c r="A198" s="268"/>
      <c r="B198" s="31"/>
      <c r="C198" s="66"/>
      <c r="D198" s="67"/>
      <c r="E198" s="65" t="s">
        <v>973</v>
      </c>
      <c r="F198" s="90">
        <f>F190/0.15</f>
        <v>1165</v>
      </c>
      <c r="G198" s="62"/>
      <c r="H198" s="30"/>
    </row>
    <row r="199" spans="1:9">
      <c r="A199" s="268"/>
      <c r="B199" s="31"/>
      <c r="C199" s="66"/>
      <c r="D199" s="67"/>
      <c r="E199" s="65"/>
      <c r="F199" s="90"/>
      <c r="G199" s="62"/>
      <c r="H199" s="30"/>
    </row>
    <row r="200" spans="1:9" ht="25.5">
      <c r="A200" s="34">
        <f>MAX(A$1:A199)+1</f>
        <v>23</v>
      </c>
      <c r="B200" s="31"/>
      <c r="C200" s="36" t="s">
        <v>140</v>
      </c>
      <c r="D200" s="37"/>
      <c r="E200" s="38" t="s">
        <v>141</v>
      </c>
      <c r="F200" s="39"/>
      <c r="G200" s="40" t="s">
        <v>21</v>
      </c>
      <c r="H200" s="128">
        <v>910</v>
      </c>
      <c r="I200" s="693"/>
    </row>
    <row r="201" spans="1:9" ht="25.5">
      <c r="A201" s="268"/>
      <c r="B201" s="31"/>
      <c r="C201" s="66"/>
      <c r="D201" s="67" t="s">
        <v>974</v>
      </c>
      <c r="E201" s="71" t="s">
        <v>975</v>
      </c>
      <c r="F201" s="61"/>
      <c r="G201" s="62" t="s">
        <v>21</v>
      </c>
      <c r="H201" s="124">
        <v>910</v>
      </c>
    </row>
    <row r="202" spans="1:9">
      <c r="A202" s="268"/>
      <c r="B202" s="31"/>
      <c r="C202" s="66"/>
      <c r="D202" s="67"/>
      <c r="E202" s="65" t="s">
        <v>976</v>
      </c>
      <c r="F202" s="90">
        <v>910</v>
      </c>
      <c r="G202" s="62"/>
      <c r="H202" s="30"/>
    </row>
    <row r="203" spans="1:9">
      <c r="A203" s="268"/>
      <c r="B203" s="31"/>
      <c r="C203" s="66"/>
      <c r="D203" s="67"/>
      <c r="E203" s="65"/>
      <c r="F203" s="90"/>
      <c r="G203" s="62"/>
      <c r="H203" s="30"/>
    </row>
    <row r="204" spans="1:9" ht="25.5">
      <c r="A204" s="34">
        <f>MAX(A$1:A203)+1</f>
        <v>24</v>
      </c>
      <c r="B204" s="31"/>
      <c r="C204" s="36" t="s">
        <v>94</v>
      </c>
      <c r="D204" s="37"/>
      <c r="E204" s="38" t="s">
        <v>95</v>
      </c>
      <c r="F204" s="39"/>
      <c r="G204" s="40" t="s">
        <v>21</v>
      </c>
      <c r="H204" s="128">
        <v>255</v>
      </c>
    </row>
    <row r="205" spans="1:9" ht="25.5">
      <c r="A205" s="268"/>
      <c r="B205" s="31"/>
      <c r="C205" s="66"/>
      <c r="D205" s="67" t="s">
        <v>96</v>
      </c>
      <c r="E205" s="71" t="s">
        <v>97</v>
      </c>
      <c r="F205" s="61"/>
      <c r="G205" s="62" t="s">
        <v>21</v>
      </c>
      <c r="H205" s="124">
        <v>255</v>
      </c>
    </row>
    <row r="206" spans="1:9">
      <c r="A206" s="268"/>
      <c r="B206" s="31"/>
      <c r="C206" s="66"/>
      <c r="D206" s="67"/>
      <c r="E206" s="65" t="s">
        <v>563</v>
      </c>
      <c r="F206" s="90">
        <f>F198-F202</f>
        <v>255</v>
      </c>
      <c r="G206" s="62"/>
      <c r="H206" s="30"/>
    </row>
    <row r="207" spans="1:9">
      <c r="A207" s="268"/>
      <c r="B207" s="31"/>
      <c r="C207" s="66"/>
      <c r="D207" s="67"/>
      <c r="E207" s="65"/>
      <c r="F207" s="90"/>
      <c r="G207" s="62"/>
      <c r="H207" s="30"/>
    </row>
    <row r="208" spans="1:9" ht="25.5">
      <c r="A208" s="34">
        <f>MAX(A$1:A207)+1</f>
        <v>25</v>
      </c>
      <c r="B208" s="31"/>
      <c r="C208" s="36" t="s">
        <v>98</v>
      </c>
      <c r="D208" s="37"/>
      <c r="E208" s="38" t="s">
        <v>99</v>
      </c>
      <c r="F208" s="277"/>
      <c r="G208" s="40" t="s">
        <v>21</v>
      </c>
      <c r="H208" s="128">
        <v>1165</v>
      </c>
    </row>
    <row r="209" spans="1:21" ht="25.5">
      <c r="A209" s="268"/>
      <c r="B209" s="31"/>
      <c r="C209" s="66"/>
      <c r="D209" s="67" t="s">
        <v>100</v>
      </c>
      <c r="E209" s="71" t="s">
        <v>101</v>
      </c>
      <c r="F209" s="275"/>
      <c r="G209" s="62" t="s">
        <v>21</v>
      </c>
      <c r="H209" s="124">
        <v>1165</v>
      </c>
    </row>
    <row r="210" spans="1:21">
      <c r="A210" s="268"/>
      <c r="B210" s="31"/>
      <c r="C210" s="66"/>
      <c r="D210" s="67"/>
      <c r="E210" s="65" t="s">
        <v>102</v>
      </c>
      <c r="F210" s="90">
        <f>F202+F206</f>
        <v>1165</v>
      </c>
      <c r="G210" s="62"/>
      <c r="H210" s="30"/>
    </row>
    <row r="211" spans="1:21">
      <c r="A211" s="268"/>
      <c r="B211" s="31"/>
      <c r="C211" s="66"/>
      <c r="D211" s="67"/>
      <c r="E211" s="65"/>
      <c r="F211" s="68"/>
      <c r="G211" s="62"/>
      <c r="H211" s="30"/>
    </row>
    <row r="212" spans="1:21" s="98" customFormat="1">
      <c r="A212" s="95"/>
      <c r="B212" s="35" t="s">
        <v>54</v>
      </c>
      <c r="C212" s="93"/>
      <c r="D212" s="94"/>
      <c r="E212" s="50" t="s">
        <v>55</v>
      </c>
      <c r="F212" s="100"/>
      <c r="G212" s="101"/>
      <c r="H212" s="42"/>
      <c r="I212" s="208"/>
      <c r="J212"/>
      <c r="K212"/>
      <c r="L212"/>
      <c r="Q212"/>
      <c r="U212" s="222"/>
    </row>
    <row r="213" spans="1:21" s="98" customFormat="1">
      <c r="A213" s="95"/>
      <c r="B213" s="35"/>
      <c r="C213" s="93"/>
      <c r="D213" s="94"/>
      <c r="E213" s="50"/>
      <c r="F213" s="100"/>
      <c r="G213" s="101"/>
      <c r="H213" s="42"/>
      <c r="I213" s="208"/>
      <c r="J213"/>
      <c r="K213"/>
      <c r="L213"/>
      <c r="Q213"/>
      <c r="U213" s="222"/>
    </row>
    <row r="214" spans="1:21" s="98" customFormat="1">
      <c r="A214" s="34">
        <f>MAX(A$1:A213)+1</f>
        <v>26</v>
      </c>
      <c r="B214" s="35"/>
      <c r="C214" s="36" t="s">
        <v>150</v>
      </c>
      <c r="D214" s="66"/>
      <c r="E214" s="38" t="s">
        <v>151</v>
      </c>
      <c r="F214" s="39"/>
      <c r="G214" s="40" t="s">
        <v>18</v>
      </c>
      <c r="H214" s="52">
        <v>369.75</v>
      </c>
      <c r="I214" s="208"/>
      <c r="J214"/>
      <c r="K214"/>
      <c r="L214"/>
      <c r="Q214"/>
      <c r="U214" s="222"/>
    </row>
    <row r="215" spans="1:21" s="98" customFormat="1" ht="25.5">
      <c r="A215" s="95"/>
      <c r="B215" s="35"/>
      <c r="C215" s="37"/>
      <c r="D215" s="67" t="s">
        <v>152</v>
      </c>
      <c r="E215" s="71" t="s">
        <v>153</v>
      </c>
      <c r="F215" s="61"/>
      <c r="G215" s="62" t="s">
        <v>18</v>
      </c>
      <c r="H215" s="99">
        <v>369.75</v>
      </c>
      <c r="I215" s="208"/>
      <c r="J215"/>
      <c r="K215"/>
      <c r="L215"/>
      <c r="Q215"/>
      <c r="U215" s="222"/>
    </row>
    <row r="216" spans="1:21" s="98" customFormat="1">
      <c r="A216" s="95"/>
      <c r="B216" s="35"/>
      <c r="C216" s="93"/>
      <c r="D216" s="94"/>
      <c r="E216" s="65" t="s">
        <v>977</v>
      </c>
      <c r="F216" s="212">
        <f>0.15*2465</f>
        <v>369.75</v>
      </c>
      <c r="G216" s="101"/>
      <c r="H216" s="42"/>
      <c r="I216" s="208"/>
      <c r="J216"/>
      <c r="K216"/>
      <c r="L216"/>
      <c r="Q216"/>
      <c r="U216" s="222"/>
    </row>
    <row r="217" spans="1:21" s="98" customFormat="1">
      <c r="A217" s="95"/>
      <c r="B217" s="35"/>
      <c r="C217" s="93"/>
      <c r="D217" s="94"/>
      <c r="E217" s="65"/>
      <c r="F217" s="212"/>
      <c r="G217" s="101"/>
      <c r="H217" s="42"/>
      <c r="I217" s="208"/>
      <c r="J217"/>
      <c r="K217"/>
      <c r="L217"/>
      <c r="Q217"/>
      <c r="U217" s="222"/>
    </row>
    <row r="218" spans="1:21" ht="25.5">
      <c r="A218" s="34">
        <f>MAX(A$1:A217)+1</f>
        <v>27</v>
      </c>
      <c r="B218" s="43"/>
      <c r="C218" s="36" t="s">
        <v>249</v>
      </c>
      <c r="D218" s="37"/>
      <c r="E218" s="38" t="s">
        <v>250</v>
      </c>
      <c r="F218" s="39"/>
      <c r="G218" s="40" t="s">
        <v>21</v>
      </c>
      <c r="H218" s="64">
        <v>6543.5</v>
      </c>
    </row>
    <row r="219" spans="1:21" s="111" customFormat="1" ht="25.5">
      <c r="A219" s="179"/>
      <c r="B219" s="256"/>
      <c r="C219" s="66"/>
      <c r="D219" s="67" t="s">
        <v>251</v>
      </c>
      <c r="E219" s="71" t="s">
        <v>252</v>
      </c>
      <c r="F219" s="61"/>
      <c r="G219" s="62" t="s">
        <v>21</v>
      </c>
      <c r="H219" s="83">
        <v>6543.5</v>
      </c>
      <c r="I219" s="6"/>
      <c r="Q219"/>
      <c r="U219" s="6"/>
    </row>
    <row r="220" spans="1:21" s="111" customFormat="1">
      <c r="A220" s="179"/>
      <c r="B220" s="256"/>
      <c r="C220" s="79"/>
      <c r="D220" s="67"/>
      <c r="E220" s="77" t="s">
        <v>878</v>
      </c>
      <c r="F220" s="231">
        <v>360</v>
      </c>
      <c r="G220" s="62"/>
      <c r="H220" s="246"/>
      <c r="I220" s="6"/>
      <c r="Q220"/>
      <c r="U220" s="6"/>
    </row>
    <row r="221" spans="1:21" s="111" customFormat="1">
      <c r="A221" s="179"/>
      <c r="B221" s="256"/>
      <c r="C221" s="79"/>
      <c r="D221" s="67"/>
      <c r="E221" s="77" t="s">
        <v>978</v>
      </c>
      <c r="F221" s="133">
        <v>6183.5</v>
      </c>
      <c r="G221" s="62"/>
      <c r="H221" s="246"/>
      <c r="I221" s="6"/>
      <c r="Q221"/>
      <c r="U221" s="6"/>
    </row>
    <row r="222" spans="1:21" s="111" customFormat="1">
      <c r="A222" s="179"/>
      <c r="B222" s="256"/>
      <c r="C222" s="79"/>
      <c r="D222" s="67"/>
      <c r="E222" s="77"/>
      <c r="F222" s="81">
        <f>SUM(F220:F221)</f>
        <v>6543.5</v>
      </c>
      <c r="G222" s="62"/>
      <c r="H222" s="246"/>
      <c r="I222" s="6"/>
      <c r="Q222"/>
      <c r="U222" s="6"/>
    </row>
    <row r="223" spans="1:21" s="111" customFormat="1">
      <c r="A223" s="179"/>
      <c r="B223" s="256"/>
      <c r="C223" s="79"/>
      <c r="D223" s="67"/>
      <c r="E223" s="77"/>
      <c r="F223" s="257"/>
      <c r="G223" s="62"/>
      <c r="H223" s="246"/>
      <c r="I223" s="6"/>
      <c r="Q223"/>
      <c r="U223" s="6"/>
    </row>
    <row r="224" spans="1:21" s="111" customFormat="1">
      <c r="A224" s="179"/>
      <c r="B224" s="35" t="s">
        <v>56</v>
      </c>
      <c r="C224" s="93"/>
      <c r="D224" s="94"/>
      <c r="E224" s="96" t="s">
        <v>57</v>
      </c>
      <c r="F224" s="81"/>
      <c r="G224" s="62"/>
      <c r="H224" s="246"/>
      <c r="I224" s="6"/>
      <c r="Q224"/>
      <c r="U224" s="6"/>
    </row>
    <row r="225" spans="1:21" s="111" customFormat="1">
      <c r="A225" s="179"/>
      <c r="B225" s="35"/>
      <c r="C225" s="93"/>
      <c r="D225" s="94"/>
      <c r="E225" s="50"/>
      <c r="F225" s="81"/>
      <c r="G225" s="62"/>
      <c r="H225" s="246"/>
      <c r="I225" s="6"/>
      <c r="Q225"/>
      <c r="U225" s="6"/>
    </row>
    <row r="226" spans="1:21" s="111" customFormat="1">
      <c r="A226" s="34">
        <f>MAX(A$1:A225)+1</f>
        <v>28</v>
      </c>
      <c r="B226" s="256"/>
      <c r="C226" s="36" t="s">
        <v>58</v>
      </c>
      <c r="D226" s="37"/>
      <c r="E226" s="38" t="s">
        <v>59</v>
      </c>
      <c r="F226" s="39"/>
      <c r="G226" s="40" t="s">
        <v>18</v>
      </c>
      <c r="H226" s="64">
        <v>369.75</v>
      </c>
      <c r="I226" s="6"/>
      <c r="Q226"/>
      <c r="U226" s="6"/>
    </row>
    <row r="227" spans="1:21" s="111" customFormat="1">
      <c r="A227" s="179"/>
      <c r="B227" s="256"/>
      <c r="C227" s="66"/>
      <c r="D227" s="67" t="s">
        <v>60</v>
      </c>
      <c r="E227" s="71" t="s">
        <v>61</v>
      </c>
      <c r="F227" s="61"/>
      <c r="G227" s="62" t="s">
        <v>18</v>
      </c>
      <c r="H227" s="83">
        <v>369.75</v>
      </c>
      <c r="I227" s="6"/>
      <c r="Q227"/>
      <c r="U227" s="6"/>
    </row>
    <row r="228" spans="1:21" s="111" customFormat="1">
      <c r="A228" s="179"/>
      <c r="B228" s="256"/>
      <c r="C228" s="66"/>
      <c r="D228" s="67"/>
      <c r="E228" s="65" t="s">
        <v>166</v>
      </c>
      <c r="F228" s="46">
        <f>F216</f>
        <v>369.75</v>
      </c>
      <c r="G228" s="62"/>
      <c r="H228" s="83"/>
      <c r="I228" s="6"/>
      <c r="Q228"/>
      <c r="U228" s="6"/>
    </row>
    <row r="229" spans="1:21" s="111" customFormat="1">
      <c r="A229" s="179"/>
      <c r="B229" s="256"/>
      <c r="C229" s="66"/>
      <c r="D229" s="67"/>
      <c r="E229" s="71"/>
      <c r="F229" s="61"/>
      <c r="G229" s="62"/>
      <c r="H229" s="83"/>
      <c r="I229" s="6"/>
      <c r="Q229"/>
      <c r="U229" s="6"/>
    </row>
    <row r="230" spans="1:21" s="111" customFormat="1">
      <c r="A230" s="34">
        <f>MAX(A$1:A229)+1</f>
        <v>29</v>
      </c>
      <c r="B230" s="256"/>
      <c r="C230" s="36" t="s">
        <v>62</v>
      </c>
      <c r="D230" s="37"/>
      <c r="E230" s="38" t="s">
        <v>63</v>
      </c>
      <c r="F230" s="39"/>
      <c r="G230" s="40" t="s">
        <v>18</v>
      </c>
      <c r="H230" s="64">
        <v>369.75</v>
      </c>
      <c r="I230" s="6"/>
      <c r="Q230"/>
      <c r="U230" s="6"/>
    </row>
    <row r="231" spans="1:21" s="111" customFormat="1" ht="25.5">
      <c r="A231" s="179"/>
      <c r="B231" s="256"/>
      <c r="C231" s="66"/>
      <c r="D231" s="67" t="s">
        <v>64</v>
      </c>
      <c r="E231" s="71" t="s">
        <v>65</v>
      </c>
      <c r="F231" s="61"/>
      <c r="G231" s="62" t="s">
        <v>18</v>
      </c>
      <c r="H231" s="83">
        <v>369.75</v>
      </c>
      <c r="I231" s="6"/>
      <c r="Q231"/>
      <c r="U231" s="6"/>
    </row>
    <row r="232" spans="1:21" s="111" customFormat="1">
      <c r="A232" s="179"/>
      <c r="B232" s="256"/>
      <c r="C232" s="66"/>
      <c r="D232" s="67"/>
      <c r="E232" s="65" t="s">
        <v>290</v>
      </c>
      <c r="F232" s="46">
        <f>F228</f>
        <v>369.75</v>
      </c>
      <c r="G232" s="62"/>
      <c r="H232" s="246"/>
      <c r="I232" s="6"/>
      <c r="Q232"/>
      <c r="U232" s="6"/>
    </row>
    <row r="233" spans="1:21" s="111" customFormat="1">
      <c r="A233" s="179"/>
      <c r="B233" s="256"/>
      <c r="C233" s="66"/>
      <c r="D233" s="67"/>
      <c r="E233" s="65"/>
      <c r="F233" s="46"/>
      <c r="G233" s="62"/>
      <c r="H233" s="246"/>
      <c r="I233" s="6"/>
      <c r="Q233"/>
      <c r="U233" s="6"/>
    </row>
    <row r="234" spans="1:21" s="111" customFormat="1">
      <c r="A234" s="34">
        <f>MAX(A$1:A233)+1</f>
        <v>30</v>
      </c>
      <c r="B234" s="43"/>
      <c r="C234" s="36" t="s">
        <v>291</v>
      </c>
      <c r="D234" s="37"/>
      <c r="E234" s="38" t="s">
        <v>292</v>
      </c>
      <c r="F234" s="39"/>
      <c r="G234" s="40" t="s">
        <v>18</v>
      </c>
      <c r="H234" s="64">
        <v>369.75</v>
      </c>
      <c r="I234" s="6"/>
      <c r="Q234"/>
      <c r="U234" s="6"/>
    </row>
    <row r="235" spans="1:21" s="111" customFormat="1" ht="25.5">
      <c r="A235" s="72"/>
      <c r="B235" s="73"/>
      <c r="C235" s="66"/>
      <c r="D235" s="67" t="s">
        <v>293</v>
      </c>
      <c r="E235" s="71" t="s">
        <v>294</v>
      </c>
      <c r="F235" s="61"/>
      <c r="G235" s="62" t="s">
        <v>18</v>
      </c>
      <c r="H235" s="83">
        <v>369.75</v>
      </c>
      <c r="I235" s="6"/>
      <c r="Q235"/>
      <c r="U235" s="6"/>
    </row>
    <row r="236" spans="1:21" s="111" customFormat="1">
      <c r="A236" s="95"/>
      <c r="B236" s="35"/>
      <c r="C236" s="93"/>
      <c r="D236" s="94"/>
      <c r="E236" s="168" t="s">
        <v>295</v>
      </c>
      <c r="F236" s="104">
        <f>F216</f>
        <v>369.75</v>
      </c>
      <c r="G236" s="97"/>
      <c r="H236" s="246"/>
      <c r="I236" s="6"/>
      <c r="Q236"/>
      <c r="U236" s="6"/>
    </row>
    <row r="237" spans="1:21" s="111" customFormat="1">
      <c r="A237" s="179"/>
      <c r="B237" s="256"/>
      <c r="C237" s="66"/>
      <c r="D237" s="67"/>
      <c r="E237" s="71"/>
      <c r="F237" s="61"/>
      <c r="G237" s="62"/>
      <c r="H237" s="246"/>
      <c r="I237" s="6"/>
      <c r="Q237"/>
      <c r="U237" s="6"/>
    </row>
    <row r="238" spans="1:21" s="111" customFormat="1">
      <c r="A238" s="34">
        <f>MAX(A$1:A237)+1</f>
        <v>31</v>
      </c>
      <c r="B238" s="256"/>
      <c r="C238" s="36" t="s">
        <v>83</v>
      </c>
      <c r="D238" s="37"/>
      <c r="E238" s="38" t="s">
        <v>84</v>
      </c>
      <c r="F238" s="39"/>
      <c r="G238" s="40" t="s">
        <v>18</v>
      </c>
      <c r="H238" s="64">
        <v>369.75</v>
      </c>
      <c r="I238" s="6"/>
      <c r="Q238"/>
      <c r="U238" s="6"/>
    </row>
    <row r="239" spans="1:21" s="111" customFormat="1" ht="25.5">
      <c r="A239" s="179"/>
      <c r="B239" s="256"/>
      <c r="C239" s="66"/>
      <c r="D239" s="67" t="s">
        <v>85</v>
      </c>
      <c r="E239" s="71" t="s">
        <v>86</v>
      </c>
      <c r="F239" s="61"/>
      <c r="G239" s="62" t="s">
        <v>18</v>
      </c>
      <c r="H239" s="83">
        <v>369.75</v>
      </c>
      <c r="I239" s="6"/>
      <c r="Q239"/>
      <c r="U239" s="6"/>
    </row>
    <row r="240" spans="1:21" s="111" customFormat="1">
      <c r="A240" s="179"/>
      <c r="B240" s="256"/>
      <c r="C240" s="66"/>
      <c r="D240" s="67"/>
      <c r="E240" s="168" t="s">
        <v>184</v>
      </c>
      <c r="F240" s="90">
        <f>F228</f>
        <v>369.75</v>
      </c>
      <c r="G240" s="62"/>
      <c r="H240" s="246"/>
      <c r="I240" s="6"/>
      <c r="Q240"/>
      <c r="U240" s="6"/>
    </row>
    <row r="241" spans="1:21" s="111" customFormat="1">
      <c r="A241" s="179"/>
      <c r="B241" s="256"/>
      <c r="C241" s="66"/>
      <c r="D241" s="67"/>
      <c r="E241" s="168"/>
      <c r="F241" s="90"/>
      <c r="G241" s="62"/>
      <c r="H241" s="246"/>
      <c r="I241" s="6"/>
      <c r="Q241"/>
      <c r="U241" s="6"/>
    </row>
    <row r="242" spans="1:21" s="111" customFormat="1" ht="25.5">
      <c r="A242" s="179"/>
      <c r="B242" s="35" t="s">
        <v>324</v>
      </c>
      <c r="C242" s="35"/>
      <c r="D242" s="94"/>
      <c r="E242" s="50" t="s">
        <v>325</v>
      </c>
      <c r="F242" s="90"/>
      <c r="G242" s="62"/>
      <c r="H242" s="246"/>
      <c r="I242" s="6"/>
      <c r="Q242"/>
      <c r="U242" s="6"/>
    </row>
    <row r="243" spans="1:21" s="111" customFormat="1">
      <c r="A243" s="179"/>
      <c r="B243" s="270"/>
      <c r="C243" s="35"/>
      <c r="D243" s="94"/>
      <c r="E243" s="50"/>
      <c r="F243" s="90"/>
      <c r="G243" s="62"/>
      <c r="H243" s="246"/>
      <c r="I243" s="6"/>
      <c r="Q243"/>
      <c r="U243" s="6"/>
    </row>
    <row r="244" spans="1:21" s="111" customFormat="1" ht="25.5">
      <c r="A244" s="34">
        <f>MAX(A$1:A242)+1</f>
        <v>32</v>
      </c>
      <c r="B244" s="256"/>
      <c r="C244" s="36" t="s">
        <v>326</v>
      </c>
      <c r="D244" s="37"/>
      <c r="E244" s="38" t="s">
        <v>327</v>
      </c>
      <c r="F244" s="39"/>
      <c r="G244" s="40" t="s">
        <v>21</v>
      </c>
      <c r="H244" s="128">
        <v>539.82000000000005</v>
      </c>
      <c r="I244" s="6"/>
      <c r="Q244"/>
      <c r="U244" s="6"/>
    </row>
    <row r="245" spans="1:21" s="111" customFormat="1" ht="25.5">
      <c r="A245" s="179"/>
      <c r="B245" s="256"/>
      <c r="C245" s="66"/>
      <c r="D245" s="67" t="s">
        <v>328</v>
      </c>
      <c r="E245" s="71" t="s">
        <v>329</v>
      </c>
      <c r="F245" s="61"/>
      <c r="G245" s="62" t="s">
        <v>21</v>
      </c>
      <c r="H245" s="124">
        <v>364.54</v>
      </c>
      <c r="I245" s="6"/>
      <c r="Q245"/>
      <c r="U245" s="6"/>
    </row>
    <row r="246" spans="1:21" s="111" customFormat="1">
      <c r="A246" s="179"/>
      <c r="B246" s="256"/>
      <c r="C246" s="66"/>
      <c r="D246" s="67"/>
      <c r="E246" s="84" t="s">
        <v>448</v>
      </c>
      <c r="F246" s="61"/>
      <c r="G246" s="62"/>
      <c r="H246" s="124"/>
      <c r="I246" s="6"/>
      <c r="Q246"/>
      <c r="U246" s="6"/>
    </row>
    <row r="247" spans="1:21" s="111" customFormat="1" ht="25.5">
      <c r="A247" s="179"/>
      <c r="B247" s="256"/>
      <c r="C247" s="66"/>
      <c r="D247" s="67"/>
      <c r="E247" s="65" t="s">
        <v>979</v>
      </c>
      <c r="F247" s="46">
        <f>0.12*286</f>
        <v>34.32</v>
      </c>
      <c r="G247" s="62"/>
      <c r="H247" s="124"/>
      <c r="I247" s="6"/>
      <c r="Q247"/>
      <c r="U247" s="6"/>
    </row>
    <row r="248" spans="1:21" s="111" customFormat="1" ht="25.5">
      <c r="A248" s="179"/>
      <c r="B248" s="256"/>
      <c r="C248" s="66"/>
      <c r="D248" s="67"/>
      <c r="E248" s="65" t="s">
        <v>980</v>
      </c>
      <c r="F248" s="46">
        <f>0.25*582</f>
        <v>145.5</v>
      </c>
      <c r="G248" s="62"/>
      <c r="H248" s="124"/>
      <c r="I248" s="6"/>
      <c r="Q248"/>
      <c r="U248" s="6"/>
    </row>
    <row r="249" spans="1:21" s="111" customFormat="1" ht="25.5">
      <c r="A249" s="179"/>
      <c r="B249" s="256"/>
      <c r="C249" s="66"/>
      <c r="D249" s="67"/>
      <c r="E249" s="65" t="s">
        <v>981</v>
      </c>
      <c r="F249" s="46">
        <f>0.12*92</f>
        <v>11.04</v>
      </c>
      <c r="G249" s="62"/>
      <c r="H249" s="124"/>
      <c r="I249" s="6"/>
      <c r="Q249"/>
      <c r="U249" s="6"/>
    </row>
    <row r="250" spans="1:21" s="111" customFormat="1" ht="25.5">
      <c r="A250" s="179"/>
      <c r="B250" s="256"/>
      <c r="C250" s="66"/>
      <c r="D250" s="67"/>
      <c r="E250" s="65" t="s">
        <v>982</v>
      </c>
      <c r="F250" s="46">
        <f>0.25*(427/2)</f>
        <v>53.375</v>
      </c>
      <c r="G250" s="62"/>
      <c r="H250" s="124"/>
      <c r="I250" s="602"/>
      <c r="Q250"/>
      <c r="U250" s="6"/>
    </row>
    <row r="251" spans="1:21" s="111" customFormat="1" ht="25.5">
      <c r="A251" s="179"/>
      <c r="B251" s="256"/>
      <c r="C251" s="66"/>
      <c r="D251" s="67"/>
      <c r="E251" s="65" t="s">
        <v>983</v>
      </c>
      <c r="F251" s="46">
        <f>0.12*(167/2)</f>
        <v>10.02</v>
      </c>
      <c r="G251" s="62"/>
      <c r="H251" s="124"/>
      <c r="I251" s="6"/>
      <c r="Q251"/>
      <c r="U251" s="6"/>
    </row>
    <row r="252" spans="1:21" s="111" customFormat="1" ht="25.5">
      <c r="A252" s="179"/>
      <c r="B252" s="256"/>
      <c r="C252" s="66"/>
      <c r="D252" s="67"/>
      <c r="E252" s="65" t="s">
        <v>984</v>
      </c>
      <c r="F252" s="46">
        <f>0.12*(1839/3)</f>
        <v>73.56</v>
      </c>
      <c r="G252" s="62"/>
      <c r="H252" s="124"/>
      <c r="I252" s="6"/>
      <c r="Q252"/>
      <c r="U252" s="6"/>
    </row>
    <row r="253" spans="1:21" s="111" customFormat="1" ht="25.5">
      <c r="A253" s="179"/>
      <c r="B253" s="256"/>
      <c r="C253" s="66"/>
      <c r="D253" s="67"/>
      <c r="E253" s="65" t="s">
        <v>985</v>
      </c>
      <c r="F253" s="69">
        <f>0.12*153*(3/1.5)</f>
        <v>36.72</v>
      </c>
      <c r="G253" s="62"/>
      <c r="H253" s="124"/>
      <c r="I253" s="6"/>
      <c r="Q253"/>
      <c r="U253" s="6"/>
    </row>
    <row r="254" spans="1:21" s="111" customFormat="1">
      <c r="A254" s="179"/>
      <c r="B254" s="256"/>
      <c r="C254" s="66"/>
      <c r="D254" s="67"/>
      <c r="E254" s="65"/>
      <c r="F254" s="46">
        <f>SUM(F247:F253)</f>
        <v>364.53499999999997</v>
      </c>
      <c r="G254" s="62"/>
      <c r="H254" s="124"/>
      <c r="I254" s="6"/>
      <c r="Q254"/>
      <c r="U254" s="6"/>
    </row>
    <row r="255" spans="1:21" s="111" customFormat="1" ht="25.5">
      <c r="A255" s="179"/>
      <c r="B255" s="256"/>
      <c r="C255" s="66"/>
      <c r="D255" s="67" t="s">
        <v>330</v>
      </c>
      <c r="E255" s="71" t="s">
        <v>331</v>
      </c>
      <c r="F255" s="61"/>
      <c r="G255" s="62" t="s">
        <v>21</v>
      </c>
      <c r="H255" s="124">
        <v>19.38</v>
      </c>
      <c r="I255" s="6"/>
      <c r="Q255"/>
      <c r="U255" s="6"/>
    </row>
    <row r="256" spans="1:21" s="111" customFormat="1">
      <c r="A256" s="179"/>
      <c r="B256" s="256"/>
      <c r="C256" s="66"/>
      <c r="D256" s="67"/>
      <c r="E256" s="84" t="s">
        <v>448</v>
      </c>
      <c r="F256" s="61"/>
      <c r="G256" s="62"/>
      <c r="H256" s="124"/>
      <c r="I256" s="6"/>
      <c r="Q256"/>
      <c r="U256" s="6"/>
    </row>
    <row r="257" spans="1:21" s="111" customFormat="1" ht="25.5">
      <c r="A257" s="179"/>
      <c r="B257" s="256"/>
      <c r="C257" s="66"/>
      <c r="D257" s="67"/>
      <c r="E257" s="65" t="s">
        <v>986</v>
      </c>
      <c r="F257" s="46">
        <f>0.25*53</f>
        <v>13.25</v>
      </c>
      <c r="G257" s="62"/>
      <c r="H257" s="124"/>
      <c r="I257" s="6"/>
      <c r="Q257"/>
      <c r="U257" s="6"/>
    </row>
    <row r="258" spans="1:21" s="111" customFormat="1" ht="25.5">
      <c r="A258" s="179"/>
      <c r="B258" s="256"/>
      <c r="C258" s="66"/>
      <c r="D258" s="67"/>
      <c r="E258" s="65" t="s">
        <v>987</v>
      </c>
      <c r="F258" s="69">
        <f>0.25*(49/2)</f>
        <v>6.125</v>
      </c>
      <c r="G258" s="62"/>
      <c r="H258" s="124"/>
      <c r="I258" s="6"/>
      <c r="Q258"/>
      <c r="U258" s="6"/>
    </row>
    <row r="259" spans="1:21" s="111" customFormat="1">
      <c r="A259" s="179"/>
      <c r="B259" s="256"/>
      <c r="C259" s="66"/>
      <c r="D259" s="67"/>
      <c r="E259" s="65"/>
      <c r="F259" s="46">
        <f>SUM(F257:F258)</f>
        <v>19.375</v>
      </c>
      <c r="G259" s="62"/>
      <c r="H259" s="124"/>
      <c r="I259" s="6"/>
      <c r="Q259"/>
      <c r="U259" s="6"/>
    </row>
    <row r="260" spans="1:21" s="111" customFormat="1" ht="25.5">
      <c r="A260" s="179"/>
      <c r="B260" s="256"/>
      <c r="C260" s="66"/>
      <c r="D260" s="67" t="s">
        <v>332</v>
      </c>
      <c r="E260" s="71" t="s">
        <v>333</v>
      </c>
      <c r="F260" s="61"/>
      <c r="G260" s="62" t="s">
        <v>21</v>
      </c>
      <c r="H260" s="124">
        <v>155.9</v>
      </c>
      <c r="I260" s="6"/>
      <c r="Q260"/>
      <c r="U260" s="6"/>
    </row>
    <row r="261" spans="1:21" s="111" customFormat="1">
      <c r="A261" s="179"/>
      <c r="B261" s="256"/>
      <c r="C261" s="66"/>
      <c r="D261" s="67"/>
      <c r="E261" s="84" t="s">
        <v>448</v>
      </c>
      <c r="F261" s="46"/>
      <c r="G261" s="62"/>
      <c r="H261" s="124"/>
      <c r="I261" s="6"/>
      <c r="Q261"/>
      <c r="U261" s="6"/>
    </row>
    <row r="262" spans="1:21" s="111" customFormat="1">
      <c r="A262" s="179"/>
      <c r="B262" s="256"/>
      <c r="C262" s="66"/>
      <c r="D262" s="67"/>
      <c r="E262" s="65" t="s">
        <v>988</v>
      </c>
      <c r="F262" s="46">
        <f>0.5*26</f>
        <v>13</v>
      </c>
      <c r="G262" s="62"/>
      <c r="H262" s="124"/>
      <c r="I262" s="6"/>
      <c r="Q262"/>
      <c r="U262" s="6"/>
    </row>
    <row r="263" spans="1:21" s="111" customFormat="1" ht="25.5">
      <c r="A263" s="179"/>
      <c r="B263" s="256"/>
      <c r="C263" s="66"/>
      <c r="D263" s="67"/>
      <c r="E263" s="65" t="s">
        <v>989</v>
      </c>
      <c r="F263" s="46">
        <f>17*2</f>
        <v>34</v>
      </c>
      <c r="G263" s="62"/>
      <c r="H263" s="124"/>
      <c r="I263" s="6"/>
      <c r="Q263"/>
      <c r="U263" s="6"/>
    </row>
    <row r="264" spans="1:21" s="111" customFormat="1" ht="25.5">
      <c r="A264" s="179"/>
      <c r="B264" s="256"/>
      <c r="C264" s="66"/>
      <c r="D264" s="67"/>
      <c r="E264" s="65" t="s">
        <v>990</v>
      </c>
      <c r="F264" s="46">
        <v>13.5</v>
      </c>
      <c r="G264" s="62"/>
      <c r="H264" s="124"/>
      <c r="I264" s="6"/>
      <c r="Q264"/>
      <c r="U264" s="6"/>
    </row>
    <row r="265" spans="1:21" s="111" customFormat="1" ht="25.5">
      <c r="A265" s="179"/>
      <c r="B265" s="256"/>
      <c r="C265" s="66"/>
      <c r="D265" s="67"/>
      <c r="E265" s="65" t="s">
        <v>991</v>
      </c>
      <c r="F265" s="46">
        <v>13</v>
      </c>
      <c r="G265" s="62"/>
      <c r="H265" s="124"/>
      <c r="I265" s="602"/>
      <c r="Q265"/>
      <c r="U265" s="6"/>
    </row>
    <row r="266" spans="1:21" s="111" customFormat="1" ht="38.25">
      <c r="A266" s="179"/>
      <c r="B266" s="256"/>
      <c r="C266" s="66"/>
      <c r="D266" s="67"/>
      <c r="E266" s="65" t="s">
        <v>992</v>
      </c>
      <c r="F266" s="46">
        <f>0.12*22.6+4.9*1</f>
        <v>7.6120000000000001</v>
      </c>
      <c r="G266" s="62"/>
      <c r="H266" s="124"/>
      <c r="I266" s="6"/>
      <c r="Q266"/>
      <c r="U266" s="6"/>
    </row>
    <row r="267" spans="1:21" s="111" customFormat="1" ht="38.25">
      <c r="A267" s="179"/>
      <c r="B267" s="256"/>
      <c r="C267" s="66"/>
      <c r="D267" s="67"/>
      <c r="E267" s="65" t="s">
        <v>993</v>
      </c>
      <c r="F267" s="46">
        <f>0.12*41+4.9*3</f>
        <v>19.62</v>
      </c>
      <c r="G267" s="62"/>
      <c r="H267" s="124"/>
      <c r="I267" s="6"/>
      <c r="Q267"/>
      <c r="U267" s="6"/>
    </row>
    <row r="268" spans="1:21" s="111" customFormat="1" ht="25.5">
      <c r="A268" s="179"/>
      <c r="B268" s="256"/>
      <c r="C268" s="66"/>
      <c r="D268" s="67"/>
      <c r="E268" s="65" t="s">
        <v>994</v>
      </c>
      <c r="F268" s="46">
        <f>1*1.15*10</f>
        <v>11.5</v>
      </c>
      <c r="G268" s="62"/>
      <c r="H268" s="124"/>
      <c r="I268" s="6"/>
      <c r="Q268"/>
      <c r="U268" s="6"/>
    </row>
    <row r="269" spans="1:21" s="111" customFormat="1" ht="25.5">
      <c r="A269" s="179"/>
      <c r="B269" s="256"/>
      <c r="C269" s="66"/>
      <c r="D269" s="67"/>
      <c r="E269" s="65" t="s">
        <v>995</v>
      </c>
      <c r="F269" s="46">
        <f>1*1.53*5</f>
        <v>7.65</v>
      </c>
      <c r="G269" s="62"/>
      <c r="H269" s="124"/>
      <c r="I269" s="6"/>
      <c r="Q269"/>
      <c r="U269" s="6"/>
    </row>
    <row r="270" spans="1:21" s="111" customFormat="1" ht="25.5">
      <c r="A270" s="179"/>
      <c r="B270" s="256"/>
      <c r="C270" s="66"/>
      <c r="D270" s="67"/>
      <c r="E270" s="65" t="s">
        <v>996</v>
      </c>
      <c r="F270" s="46">
        <f>1*1.15*5</f>
        <v>5.75</v>
      </c>
      <c r="G270" s="62"/>
      <c r="H270" s="124"/>
      <c r="I270" s="6"/>
      <c r="Q270"/>
      <c r="U270" s="6"/>
    </row>
    <row r="271" spans="1:21" s="111" customFormat="1" ht="25.5">
      <c r="A271" s="179"/>
      <c r="B271" s="256"/>
      <c r="C271" s="66"/>
      <c r="D271" s="67"/>
      <c r="E271" s="65" t="s">
        <v>997</v>
      </c>
      <c r="F271" s="46">
        <f>1*1.53*9</f>
        <v>13.77</v>
      </c>
      <c r="G271" s="62"/>
      <c r="H271" s="124"/>
      <c r="I271" s="6"/>
      <c r="Q271"/>
      <c r="U271" s="6"/>
    </row>
    <row r="272" spans="1:21" s="111" customFormat="1" ht="25.5">
      <c r="A272" s="179"/>
      <c r="B272" s="256"/>
      <c r="C272" s="66"/>
      <c r="D272" s="67"/>
      <c r="E272" s="65" t="s">
        <v>998</v>
      </c>
      <c r="F272" s="69">
        <f>1*1.1*15</f>
        <v>16.5</v>
      </c>
      <c r="G272" s="62"/>
      <c r="H272" s="124"/>
      <c r="I272" s="6"/>
      <c r="Q272"/>
      <c r="U272" s="6"/>
    </row>
    <row r="273" spans="1:21" s="111" customFormat="1">
      <c r="A273" s="179"/>
      <c r="B273" s="256"/>
      <c r="C273" s="66"/>
      <c r="D273" s="67"/>
      <c r="E273" s="65"/>
      <c r="F273" s="46">
        <f>SUM(F262:F272)</f>
        <v>155.90200000000002</v>
      </c>
      <c r="G273" s="62"/>
      <c r="H273" s="124"/>
      <c r="I273" s="6"/>
      <c r="Q273"/>
      <c r="U273" s="6"/>
    </row>
    <row r="274" spans="1:21" s="111" customFormat="1">
      <c r="A274" s="179"/>
      <c r="B274" s="256"/>
      <c r="C274" s="66"/>
      <c r="D274" s="67"/>
      <c r="E274" s="84" t="s">
        <v>999</v>
      </c>
      <c r="F274" s="46"/>
      <c r="G274" s="62"/>
      <c r="H274" s="124"/>
      <c r="I274" s="6"/>
      <c r="Q274"/>
      <c r="U274" s="6"/>
    </row>
    <row r="275" spans="1:21" s="111" customFormat="1">
      <c r="A275" s="179"/>
      <c r="B275" s="256"/>
      <c r="C275" s="66"/>
      <c r="D275" s="67"/>
      <c r="E275" s="65" t="s">
        <v>1000</v>
      </c>
      <c r="F275" s="46"/>
      <c r="G275" s="62"/>
      <c r="H275" s="124"/>
      <c r="I275" s="6"/>
      <c r="Q275"/>
      <c r="U275" s="6"/>
    </row>
    <row r="276" spans="1:21" s="111" customFormat="1" ht="63.75">
      <c r="A276" s="179"/>
      <c r="B276" s="256"/>
      <c r="C276" s="66"/>
      <c r="D276" s="67"/>
      <c r="E276" s="65" t="s">
        <v>1001</v>
      </c>
      <c r="F276" s="46"/>
      <c r="G276" s="62"/>
      <c r="H276" s="124"/>
      <c r="I276" s="6"/>
      <c r="Q276"/>
      <c r="U276" s="6"/>
    </row>
    <row r="277" spans="1:21" s="111" customFormat="1" ht="38.25">
      <c r="A277" s="179"/>
      <c r="B277" s="256"/>
      <c r="C277" s="66"/>
      <c r="D277" s="67"/>
      <c r="E277" s="65" t="s">
        <v>1002</v>
      </c>
      <c r="F277" s="46"/>
      <c r="G277" s="62"/>
      <c r="H277" s="124"/>
      <c r="I277" s="6"/>
      <c r="Q277"/>
      <c r="U277" s="6"/>
    </row>
    <row r="278" spans="1:21" s="111" customFormat="1" ht="25.5">
      <c r="A278" s="179"/>
      <c r="B278" s="256"/>
      <c r="C278" s="66"/>
      <c r="D278" s="67"/>
      <c r="E278" s="65" t="s">
        <v>1003</v>
      </c>
      <c r="F278" s="46"/>
      <c r="G278" s="62"/>
      <c r="H278" s="124"/>
      <c r="I278" s="6"/>
      <c r="Q278"/>
      <c r="U278" s="6"/>
    </row>
    <row r="279" spans="1:21" s="111" customFormat="1">
      <c r="A279" s="179"/>
      <c r="B279" s="256"/>
      <c r="C279" s="66"/>
      <c r="D279" s="67"/>
      <c r="E279" s="65"/>
      <c r="F279" s="46"/>
      <c r="G279" s="62"/>
      <c r="H279" s="124"/>
      <c r="I279" s="6"/>
      <c r="Q279"/>
      <c r="U279" s="6"/>
    </row>
    <row r="280" spans="1:21" s="98" customFormat="1" ht="25.5">
      <c r="A280" s="34"/>
      <c r="B280" s="35" t="s">
        <v>261</v>
      </c>
      <c r="C280" s="35"/>
      <c r="D280" s="94"/>
      <c r="E280" s="50" t="s">
        <v>262</v>
      </c>
      <c r="F280" s="100"/>
      <c r="G280" s="97"/>
      <c r="H280" s="42"/>
      <c r="I280" s="208"/>
      <c r="J280"/>
      <c r="K280"/>
      <c r="L280"/>
      <c r="Q280"/>
      <c r="U280" s="222"/>
    </row>
    <row r="281" spans="1:21" s="98" customFormat="1">
      <c r="A281" s="145"/>
      <c r="B281" s="35"/>
      <c r="C281" s="35"/>
      <c r="D281" s="94"/>
      <c r="E281" s="50"/>
      <c r="F281" s="100"/>
      <c r="G281" s="97"/>
      <c r="H281" s="42"/>
      <c r="I281" s="208"/>
      <c r="J281"/>
      <c r="K281"/>
      <c r="L281"/>
      <c r="Q281"/>
      <c r="U281" s="222"/>
    </row>
    <row r="282" spans="1:21" s="98" customFormat="1" ht="25.5">
      <c r="A282" s="34">
        <f>MAX(A$1:A280)+1</f>
        <v>33</v>
      </c>
      <c r="B282" s="35"/>
      <c r="C282" s="36" t="s">
        <v>430</v>
      </c>
      <c r="D282" s="37"/>
      <c r="E282" s="38" t="s">
        <v>431</v>
      </c>
      <c r="F282" s="39"/>
      <c r="G282" s="40" t="s">
        <v>18</v>
      </c>
      <c r="H282" s="128">
        <v>10.600000000000001</v>
      </c>
      <c r="I282" s="695"/>
      <c r="J282"/>
      <c r="K282"/>
      <c r="L282"/>
      <c r="Q282"/>
      <c r="U282" s="222"/>
    </row>
    <row r="283" spans="1:21" s="98" customFormat="1" ht="38.25">
      <c r="A283" s="145"/>
      <c r="B283" s="35"/>
      <c r="C283" s="35"/>
      <c r="D283" s="67" t="s">
        <v>752</v>
      </c>
      <c r="E283" s="71" t="s">
        <v>753</v>
      </c>
      <c r="F283" s="61"/>
      <c r="G283" s="62" t="s">
        <v>18</v>
      </c>
      <c r="H283" s="124">
        <v>10.600000000000001</v>
      </c>
      <c r="I283" s="693"/>
      <c r="J283"/>
      <c r="K283"/>
      <c r="L283"/>
      <c r="Q283"/>
      <c r="U283" s="222"/>
    </row>
    <row r="284" spans="1:21" s="98" customFormat="1" ht="25.5">
      <c r="A284" s="145"/>
      <c r="B284" s="35"/>
      <c r="C284" s="35"/>
      <c r="D284" s="94"/>
      <c r="E284" s="65" t="s">
        <v>1004</v>
      </c>
      <c r="F284" s="212">
        <f>0.2*53</f>
        <v>10.600000000000001</v>
      </c>
      <c r="G284" s="97"/>
      <c r="H284" s="42"/>
      <c r="I284" s="208"/>
      <c r="J284"/>
      <c r="K284"/>
      <c r="L284"/>
      <c r="Q284"/>
      <c r="U284" s="222"/>
    </row>
    <row r="285" spans="1:21" s="98" customFormat="1">
      <c r="A285" s="145"/>
      <c r="B285" s="35"/>
      <c r="C285" s="35"/>
      <c r="D285" s="94"/>
      <c r="E285" s="65"/>
      <c r="F285" s="212"/>
      <c r="G285" s="97"/>
      <c r="H285" s="42"/>
      <c r="I285" s="208"/>
      <c r="J285"/>
      <c r="K285"/>
      <c r="L285"/>
      <c r="Q285"/>
      <c r="U285" s="222"/>
    </row>
    <row r="286" spans="1:21" s="98" customFormat="1" ht="25.5">
      <c r="A286" s="34">
        <f>MAX(A$1:A285)+1</f>
        <v>34</v>
      </c>
      <c r="B286" s="35"/>
      <c r="C286" s="36" t="s">
        <v>604</v>
      </c>
      <c r="D286" s="37"/>
      <c r="E286" s="38" t="s">
        <v>605</v>
      </c>
      <c r="F286" s="39"/>
      <c r="G286" s="40" t="s">
        <v>18</v>
      </c>
      <c r="H286" s="52">
        <v>60</v>
      </c>
      <c r="I286" s="693"/>
      <c r="J286"/>
      <c r="K286"/>
      <c r="L286"/>
      <c r="Q286"/>
      <c r="U286" s="222"/>
    </row>
    <row r="287" spans="1:21" s="98" customFormat="1" ht="38.25">
      <c r="A287" s="145"/>
      <c r="B287" s="35"/>
      <c r="C287" s="36"/>
      <c r="D287" s="67" t="s">
        <v>641</v>
      </c>
      <c r="E287" s="71" t="s">
        <v>642</v>
      </c>
      <c r="F287" s="61"/>
      <c r="G287" s="62" t="s">
        <v>18</v>
      </c>
      <c r="H287" s="99">
        <v>60</v>
      </c>
      <c r="I287" s="693"/>
      <c r="J287"/>
      <c r="K287"/>
      <c r="L287"/>
      <c r="Q287"/>
      <c r="U287" s="222"/>
    </row>
    <row r="288" spans="1:21" s="98" customFormat="1" ht="76.5">
      <c r="A288" s="145"/>
      <c r="B288" s="35"/>
      <c r="C288" s="35"/>
      <c r="D288" s="94"/>
      <c r="E288" s="65" t="s">
        <v>1005</v>
      </c>
      <c r="F288" s="212">
        <f>0.25*240</f>
        <v>60</v>
      </c>
      <c r="G288" s="97"/>
      <c r="H288" s="42"/>
      <c r="I288" s="208"/>
      <c r="J288"/>
      <c r="K288"/>
      <c r="L288"/>
      <c r="Q288"/>
      <c r="U288" s="222"/>
    </row>
    <row r="289" spans="1:21" s="98" customFormat="1">
      <c r="A289" s="145"/>
      <c r="B289" s="35"/>
      <c r="C289" s="35"/>
      <c r="D289" s="94"/>
      <c r="E289" s="50"/>
      <c r="F289" s="100"/>
      <c r="G289" s="97"/>
      <c r="H289" s="42"/>
      <c r="I289" s="208"/>
      <c r="J289"/>
      <c r="K289"/>
      <c r="L289"/>
      <c r="Q289"/>
      <c r="U289" s="222"/>
    </row>
    <row r="290" spans="1:21" s="98" customFormat="1">
      <c r="A290" s="145"/>
      <c r="B290" s="35"/>
      <c r="C290" s="35"/>
      <c r="D290" s="94"/>
      <c r="E290" s="84" t="s">
        <v>1006</v>
      </c>
      <c r="F290" s="100"/>
      <c r="G290" s="97"/>
      <c r="H290" s="42"/>
      <c r="I290" s="208"/>
      <c r="J290"/>
      <c r="K290"/>
      <c r="L290"/>
      <c r="Q290"/>
      <c r="U290" s="222"/>
    </row>
    <row r="291" spans="1:21" s="98" customFormat="1" ht="26.25">
      <c r="A291" s="145"/>
      <c r="B291" s="35"/>
      <c r="C291" s="35"/>
      <c r="D291" s="94"/>
      <c r="E291" s="68" t="s">
        <v>1007</v>
      </c>
      <c r="F291" s="100"/>
      <c r="G291" s="97"/>
      <c r="H291" s="42"/>
      <c r="I291" s="208"/>
      <c r="J291"/>
      <c r="K291"/>
      <c r="L291"/>
      <c r="Q291"/>
      <c r="U291" s="222"/>
    </row>
    <row r="292" spans="1:21" s="98" customFormat="1" ht="26.25">
      <c r="A292" s="145"/>
      <c r="B292" s="35"/>
      <c r="C292" s="35"/>
      <c r="D292" s="94"/>
      <c r="E292" s="68" t="s">
        <v>1008</v>
      </c>
      <c r="F292" s="100"/>
      <c r="G292" s="97"/>
      <c r="H292" s="42"/>
      <c r="I292" s="208"/>
      <c r="J292"/>
      <c r="K292"/>
      <c r="L292"/>
      <c r="Q292"/>
      <c r="U292" s="222"/>
    </row>
    <row r="293" spans="1:21" s="98" customFormat="1" ht="26.25">
      <c r="A293" s="145"/>
      <c r="B293" s="35"/>
      <c r="C293" s="35"/>
      <c r="D293" s="94"/>
      <c r="E293" s="68" t="s">
        <v>1009</v>
      </c>
      <c r="F293" s="100"/>
      <c r="G293" s="97"/>
      <c r="H293" s="42"/>
      <c r="I293" s="208"/>
      <c r="J293"/>
      <c r="K293"/>
      <c r="L293"/>
      <c r="Q293"/>
      <c r="U293" s="222"/>
    </row>
    <row r="294" spans="1:21" s="98" customFormat="1" ht="26.25">
      <c r="A294" s="145"/>
      <c r="B294" s="35"/>
      <c r="C294" s="35"/>
      <c r="D294" s="94"/>
      <c r="E294" s="68" t="s">
        <v>1010</v>
      </c>
      <c r="F294" s="100"/>
      <c r="G294" s="97"/>
      <c r="H294" s="42"/>
      <c r="I294" s="208"/>
      <c r="J294"/>
      <c r="K294"/>
      <c r="L294"/>
      <c r="Q294"/>
      <c r="U294" s="222"/>
    </row>
    <row r="295" spans="1:21" s="98" customFormat="1">
      <c r="A295" s="145"/>
      <c r="B295" s="35"/>
      <c r="C295" s="35"/>
      <c r="D295" s="94"/>
      <c r="E295" s="68" t="s">
        <v>1011</v>
      </c>
      <c r="F295" s="100"/>
      <c r="G295" s="97"/>
      <c r="H295" s="42"/>
      <c r="I295" s="208"/>
      <c r="J295"/>
      <c r="K295"/>
      <c r="L295"/>
      <c r="Q295"/>
      <c r="U295" s="222"/>
    </row>
    <row r="296" spans="1:21" s="98" customFormat="1">
      <c r="A296" s="145"/>
      <c r="B296" s="35"/>
      <c r="C296" s="35"/>
      <c r="D296" s="94"/>
      <c r="E296" s="68" t="s">
        <v>1012</v>
      </c>
      <c r="F296" s="100"/>
      <c r="G296" s="97"/>
      <c r="H296" s="42"/>
      <c r="I296" s="208"/>
      <c r="J296"/>
      <c r="K296"/>
      <c r="L296"/>
      <c r="Q296"/>
      <c r="U296" s="222"/>
    </row>
    <row r="297" spans="1:21" s="98" customFormat="1" ht="26.25">
      <c r="A297" s="145"/>
      <c r="B297" s="35"/>
      <c r="C297" s="35"/>
      <c r="D297" s="94"/>
      <c r="E297" s="68" t="s">
        <v>1013</v>
      </c>
      <c r="F297" s="100"/>
      <c r="G297" s="97"/>
      <c r="H297" s="42"/>
      <c r="I297" s="208"/>
      <c r="J297"/>
      <c r="K297"/>
      <c r="L297"/>
      <c r="Q297"/>
      <c r="U297" s="222"/>
    </row>
    <row r="298" spans="1:21" s="98" customFormat="1">
      <c r="A298" s="145"/>
      <c r="B298" s="35"/>
      <c r="C298" s="35"/>
      <c r="D298" s="94"/>
      <c r="E298" s="68" t="s">
        <v>1014</v>
      </c>
      <c r="F298" s="100"/>
      <c r="G298" s="97"/>
      <c r="H298" s="42"/>
      <c r="I298" s="208"/>
      <c r="J298"/>
      <c r="K298"/>
      <c r="L298"/>
      <c r="Q298"/>
      <c r="U298" s="222"/>
    </row>
    <row r="299" spans="1:21" s="98" customFormat="1">
      <c r="A299" s="145"/>
      <c r="B299" s="35"/>
      <c r="C299" s="35"/>
      <c r="D299" s="94"/>
      <c r="E299" s="68" t="s">
        <v>1015</v>
      </c>
      <c r="F299" s="100"/>
      <c r="G299" s="97"/>
      <c r="H299" s="42"/>
      <c r="I299" s="208"/>
      <c r="J299"/>
      <c r="K299"/>
      <c r="L299"/>
      <c r="Q299"/>
      <c r="U299" s="222"/>
    </row>
    <row r="300" spans="1:21" s="98" customFormat="1" ht="26.25">
      <c r="A300" s="145"/>
      <c r="B300" s="35"/>
      <c r="C300" s="35"/>
      <c r="D300" s="94"/>
      <c r="E300" s="68" t="s">
        <v>1016</v>
      </c>
      <c r="F300" s="100"/>
      <c r="G300" s="97"/>
      <c r="H300" s="42"/>
      <c r="I300" s="208"/>
      <c r="J300"/>
      <c r="K300"/>
      <c r="L300"/>
      <c r="Q300"/>
      <c r="U300" s="222"/>
    </row>
    <row r="301" spans="1:21" s="98" customFormat="1" ht="26.25">
      <c r="A301" s="145"/>
      <c r="B301" s="35"/>
      <c r="C301" s="35"/>
      <c r="D301" s="94"/>
      <c r="E301" s="68" t="s">
        <v>1017</v>
      </c>
      <c r="F301" s="100"/>
      <c r="G301" s="97"/>
      <c r="H301" s="42"/>
      <c r="I301" s="208"/>
      <c r="J301"/>
      <c r="K301"/>
      <c r="L301"/>
      <c r="Q301"/>
      <c r="U301" s="222"/>
    </row>
    <row r="302" spans="1:21" s="98" customFormat="1">
      <c r="A302" s="145"/>
      <c r="B302" s="35"/>
      <c r="C302" s="35"/>
      <c r="D302" s="94"/>
      <c r="E302" s="68" t="s">
        <v>1018</v>
      </c>
      <c r="F302" s="100"/>
      <c r="G302" s="97"/>
      <c r="H302" s="42"/>
      <c r="I302" s="208"/>
      <c r="J302"/>
      <c r="K302"/>
      <c r="L302"/>
      <c r="Q302"/>
      <c r="U302" s="222"/>
    </row>
    <row r="303" spans="1:21" s="98" customFormat="1">
      <c r="A303" s="145"/>
      <c r="B303" s="35"/>
      <c r="C303" s="35"/>
      <c r="D303" s="94"/>
      <c r="E303" s="68" t="s">
        <v>1019</v>
      </c>
      <c r="F303" s="100"/>
      <c r="G303" s="97"/>
      <c r="H303" s="42"/>
      <c r="I303" s="208"/>
      <c r="J303"/>
      <c r="K303"/>
      <c r="L303"/>
      <c r="Q303"/>
      <c r="U303" s="222"/>
    </row>
    <row r="304" spans="1:21" s="98" customFormat="1">
      <c r="A304" s="145"/>
      <c r="B304" s="35"/>
      <c r="C304" s="35"/>
      <c r="D304" s="94"/>
      <c r="E304" s="68" t="s">
        <v>1020</v>
      </c>
      <c r="F304" s="100"/>
      <c r="G304" s="97"/>
      <c r="H304" s="42"/>
      <c r="I304" s="208"/>
      <c r="J304"/>
      <c r="K304"/>
      <c r="L304"/>
      <c r="Q304"/>
      <c r="U304" s="222"/>
    </row>
    <row r="305" spans="1:21" s="98" customFormat="1" ht="26.25">
      <c r="A305" s="145"/>
      <c r="B305" s="35"/>
      <c r="C305" s="35"/>
      <c r="D305" s="94"/>
      <c r="E305" s="68" t="s">
        <v>1021</v>
      </c>
      <c r="F305" s="100"/>
      <c r="G305" s="97"/>
      <c r="H305" s="42"/>
      <c r="I305" s="208"/>
      <c r="J305"/>
      <c r="K305"/>
      <c r="L305"/>
      <c r="Q305"/>
      <c r="U305" s="222"/>
    </row>
    <row r="306" spans="1:21" s="98" customFormat="1" ht="26.25">
      <c r="A306" s="145"/>
      <c r="B306" s="35"/>
      <c r="C306" s="35"/>
      <c r="D306" s="94"/>
      <c r="E306" s="68" t="s">
        <v>1022</v>
      </c>
      <c r="F306" s="100"/>
      <c r="G306" s="97"/>
      <c r="H306" s="42"/>
      <c r="I306" s="208"/>
      <c r="J306"/>
      <c r="K306"/>
      <c r="L306"/>
      <c r="Q306"/>
      <c r="U306" s="222"/>
    </row>
    <row r="307" spans="1:21" s="98" customFormat="1">
      <c r="A307" s="145"/>
      <c r="B307" s="35"/>
      <c r="C307" s="35"/>
      <c r="D307" s="94"/>
      <c r="E307" s="68" t="s">
        <v>1023</v>
      </c>
      <c r="F307" s="100"/>
      <c r="G307" s="97"/>
      <c r="H307" s="42"/>
      <c r="I307" s="208"/>
      <c r="J307"/>
      <c r="K307"/>
      <c r="L307"/>
      <c r="Q307"/>
      <c r="U307" s="222"/>
    </row>
    <row r="308" spans="1:21" s="98" customFormat="1">
      <c r="A308" s="145"/>
      <c r="B308" s="35"/>
      <c r="C308" s="35"/>
      <c r="D308" s="94"/>
      <c r="E308" s="68" t="s">
        <v>1024</v>
      </c>
      <c r="F308" s="100"/>
      <c r="G308" s="97"/>
      <c r="H308" s="42"/>
      <c r="I308" s="208"/>
      <c r="J308"/>
      <c r="K308"/>
      <c r="L308"/>
      <c r="Q308"/>
      <c r="U308" s="222"/>
    </row>
    <row r="309" spans="1:21" s="98" customFormat="1">
      <c r="A309" s="145"/>
      <c r="B309" s="35"/>
      <c r="C309" s="35"/>
      <c r="D309" s="94"/>
      <c r="E309" s="68" t="s">
        <v>1025</v>
      </c>
      <c r="F309" s="100"/>
      <c r="G309" s="97"/>
      <c r="H309" s="42"/>
      <c r="I309" s="208"/>
      <c r="J309"/>
      <c r="K309"/>
      <c r="L309"/>
      <c r="Q309"/>
      <c r="U309" s="222"/>
    </row>
    <row r="310" spans="1:21" s="98" customFormat="1">
      <c r="A310" s="145"/>
      <c r="B310" s="35"/>
      <c r="C310" s="35"/>
      <c r="D310" s="94"/>
      <c r="E310" s="65"/>
      <c r="F310" s="212"/>
      <c r="G310" s="97"/>
      <c r="H310" s="42"/>
      <c r="I310" s="208"/>
      <c r="J310"/>
      <c r="K310"/>
      <c r="L310"/>
      <c r="Q310"/>
      <c r="U310" s="222"/>
    </row>
    <row r="311" spans="1:21" s="98" customFormat="1" ht="25.5">
      <c r="A311" s="34">
        <f>MAX(A$1:A310)+1</f>
        <v>35</v>
      </c>
      <c r="B311" s="35"/>
      <c r="C311" s="36" t="s">
        <v>296</v>
      </c>
      <c r="D311" s="37"/>
      <c r="E311" s="38" t="s">
        <v>297</v>
      </c>
      <c r="F311" s="39"/>
      <c r="G311" s="40" t="s">
        <v>21</v>
      </c>
      <c r="H311" s="128">
        <v>2550</v>
      </c>
      <c r="I311" s="208"/>
      <c r="J311"/>
      <c r="K311"/>
      <c r="L311"/>
      <c r="Q311"/>
      <c r="U311" s="222"/>
    </row>
    <row r="312" spans="1:21" s="98" customFormat="1" ht="38.25">
      <c r="A312" s="145"/>
      <c r="B312" s="35"/>
      <c r="C312" s="66"/>
      <c r="D312" s="67" t="s">
        <v>1026</v>
      </c>
      <c r="E312" s="71" t="s">
        <v>1027</v>
      </c>
      <c r="F312" s="61"/>
      <c r="G312" s="62" t="s">
        <v>21</v>
      </c>
      <c r="H312" s="124">
        <v>2550</v>
      </c>
      <c r="I312" s="208"/>
      <c r="J312"/>
      <c r="K312"/>
      <c r="L312"/>
      <c r="Q312"/>
      <c r="U312" s="222"/>
    </row>
    <row r="313" spans="1:21" s="98" customFormat="1">
      <c r="A313" s="145"/>
      <c r="B313" s="35"/>
      <c r="C313" s="66"/>
      <c r="D313" s="67"/>
      <c r="E313" s="65" t="s">
        <v>1028</v>
      </c>
      <c r="F313" s="90">
        <v>2550</v>
      </c>
      <c r="G313" s="62"/>
      <c r="H313" s="42"/>
      <c r="I313" s="208"/>
      <c r="J313"/>
      <c r="K313"/>
      <c r="L313"/>
      <c r="Q313"/>
      <c r="U313" s="222"/>
    </row>
    <row r="314" spans="1:21" s="98" customFormat="1">
      <c r="A314" s="145"/>
      <c r="B314" s="35"/>
      <c r="C314" s="66"/>
      <c r="D314" s="67"/>
      <c r="E314" s="71"/>
      <c r="F314" s="61"/>
      <c r="G314" s="62"/>
      <c r="H314" s="42"/>
      <c r="I314" s="208"/>
      <c r="J314"/>
      <c r="K314"/>
      <c r="L314"/>
      <c r="Q314"/>
      <c r="U314" s="222"/>
    </row>
    <row r="315" spans="1:21" s="98" customFormat="1" ht="25.5">
      <c r="A315" s="34">
        <f>MAX(A$1:A314)+1</f>
        <v>36</v>
      </c>
      <c r="B315" s="35"/>
      <c r="C315" s="36" t="s">
        <v>298</v>
      </c>
      <c r="D315" s="37"/>
      <c r="E315" s="38" t="s">
        <v>299</v>
      </c>
      <c r="F315" s="39"/>
      <c r="G315" s="40" t="s">
        <v>18</v>
      </c>
      <c r="H315" s="128">
        <v>243.6</v>
      </c>
      <c r="I315" s="695"/>
      <c r="J315"/>
      <c r="K315"/>
      <c r="L315"/>
      <c r="Q315"/>
      <c r="U315" s="222"/>
    </row>
    <row r="316" spans="1:21" s="98" customFormat="1" ht="25.5">
      <c r="A316" s="145"/>
      <c r="B316" s="35"/>
      <c r="C316" s="36"/>
      <c r="D316" s="67" t="s">
        <v>367</v>
      </c>
      <c r="E316" s="71" t="s">
        <v>368</v>
      </c>
      <c r="F316" s="61"/>
      <c r="G316" s="62" t="s">
        <v>18</v>
      </c>
      <c r="H316" s="124">
        <v>222</v>
      </c>
      <c r="I316" s="208"/>
      <c r="J316"/>
      <c r="K316"/>
      <c r="L316"/>
      <c r="Q316"/>
      <c r="U316" s="222"/>
    </row>
    <row r="317" spans="1:21" s="98" customFormat="1" ht="25.5">
      <c r="A317" s="145"/>
      <c r="B317" s="35"/>
      <c r="C317" s="36"/>
      <c r="D317" s="37"/>
      <c r="E317" s="65" t="s">
        <v>1029</v>
      </c>
      <c r="F317" s="46">
        <f>0.04*5550</f>
        <v>222</v>
      </c>
      <c r="G317" s="40"/>
      <c r="H317" s="128"/>
      <c r="I317" s="208"/>
      <c r="J317"/>
      <c r="K317"/>
      <c r="L317"/>
      <c r="Q317"/>
      <c r="U317" s="222"/>
    </row>
    <row r="318" spans="1:21" s="98" customFormat="1" ht="25.5">
      <c r="A318" s="145"/>
      <c r="B318" s="35"/>
      <c r="C318" s="36"/>
      <c r="D318" s="37"/>
      <c r="E318" s="65" t="s">
        <v>1030</v>
      </c>
      <c r="F318" s="69">
        <f>0.04*965</f>
        <v>38.6</v>
      </c>
      <c r="G318" s="40"/>
      <c r="H318" s="128"/>
      <c r="I318" s="208"/>
      <c r="J318"/>
      <c r="K318"/>
      <c r="L318"/>
      <c r="Q318"/>
      <c r="U318" s="222"/>
    </row>
    <row r="319" spans="1:21" s="98" customFormat="1">
      <c r="A319" s="145"/>
      <c r="B319" s="35"/>
      <c r="C319" s="36"/>
      <c r="D319" s="37"/>
      <c r="E319" s="65"/>
      <c r="F319" s="46">
        <f>SUM(F317:F318)</f>
        <v>260.60000000000002</v>
      </c>
      <c r="G319" s="40"/>
      <c r="H319" s="128"/>
      <c r="I319" s="208"/>
      <c r="J319"/>
      <c r="K319"/>
      <c r="L319"/>
      <c r="Q319"/>
      <c r="U319" s="222"/>
    </row>
    <row r="320" spans="1:21" s="98" customFormat="1" ht="25.5">
      <c r="A320" s="145"/>
      <c r="B320" s="35"/>
      <c r="C320" s="66"/>
      <c r="D320" s="67" t="s">
        <v>334</v>
      </c>
      <c r="E320" s="71" t="s">
        <v>335</v>
      </c>
      <c r="F320" s="61"/>
      <c r="G320" s="62" t="s">
        <v>18</v>
      </c>
      <c r="H320" s="124">
        <v>21.599999999999998</v>
      </c>
      <c r="I320" s="208"/>
      <c r="J320"/>
      <c r="K320"/>
      <c r="L320"/>
      <c r="Q320"/>
      <c r="U320" s="222"/>
    </row>
    <row r="321" spans="1:21" s="98" customFormat="1" ht="26.25">
      <c r="A321" s="145"/>
      <c r="B321" s="35"/>
      <c r="C321" s="66"/>
      <c r="D321" s="67"/>
      <c r="E321" s="68" t="s">
        <v>1031</v>
      </c>
      <c r="F321" s="46">
        <f>0.06*360</f>
        <v>21.599999999999998</v>
      </c>
      <c r="G321" s="62"/>
      <c r="H321" s="42"/>
      <c r="I321" s="208"/>
      <c r="J321"/>
      <c r="K321"/>
      <c r="L321"/>
      <c r="Q321"/>
      <c r="U321" s="222"/>
    </row>
    <row r="322" spans="1:21" s="98" customFormat="1">
      <c r="A322" s="145"/>
      <c r="B322" s="35"/>
      <c r="C322" s="35"/>
      <c r="D322" s="94"/>
      <c r="E322" s="50"/>
      <c r="F322" s="100"/>
      <c r="G322" s="97"/>
      <c r="H322" s="42"/>
      <c r="I322" s="208"/>
      <c r="J322"/>
      <c r="K322"/>
      <c r="L322" s="120"/>
      <c r="Q322"/>
      <c r="U322" s="222"/>
    </row>
    <row r="323" spans="1:21" s="98" customFormat="1" ht="25.5">
      <c r="A323" s="34">
        <f>MAX(A$1:A322)+1</f>
        <v>37</v>
      </c>
      <c r="B323" s="35"/>
      <c r="C323" s="36" t="s">
        <v>300</v>
      </c>
      <c r="D323" s="37"/>
      <c r="E323" s="38" t="s">
        <v>301</v>
      </c>
      <c r="F323" s="39"/>
      <c r="G323" s="40" t="s">
        <v>18</v>
      </c>
      <c r="H323" s="64">
        <v>102</v>
      </c>
      <c r="I323" s="208"/>
      <c r="J323"/>
      <c r="K323"/>
      <c r="L323"/>
      <c r="Q323"/>
      <c r="U323" s="222"/>
    </row>
    <row r="324" spans="1:21" s="98" customFormat="1" ht="25.5">
      <c r="A324" s="145"/>
      <c r="B324" s="35"/>
      <c r="C324" s="66"/>
      <c r="D324" s="67" t="s">
        <v>302</v>
      </c>
      <c r="E324" s="71" t="s">
        <v>303</v>
      </c>
      <c r="F324" s="61"/>
      <c r="G324" s="62" t="s">
        <v>18</v>
      </c>
      <c r="H324" s="83">
        <v>102</v>
      </c>
      <c r="I324" s="208"/>
      <c r="J324"/>
      <c r="K324"/>
      <c r="L324"/>
      <c r="Q324"/>
      <c r="U324" s="222"/>
    </row>
    <row r="325" spans="1:21" s="98" customFormat="1" ht="25.5">
      <c r="A325" s="145"/>
      <c r="B325" s="35"/>
      <c r="C325" s="35"/>
      <c r="D325" s="94"/>
      <c r="E325" s="65" t="s">
        <v>1032</v>
      </c>
      <c r="F325" s="212">
        <f>0.04*2550</f>
        <v>102</v>
      </c>
      <c r="G325" s="97"/>
      <c r="H325" s="42"/>
      <c r="I325" s="208"/>
      <c r="J325"/>
      <c r="K325"/>
      <c r="L325"/>
      <c r="Q325"/>
      <c r="U325" s="222"/>
    </row>
    <row r="326" spans="1:21" s="98" customFormat="1">
      <c r="A326" s="145"/>
      <c r="B326" s="35"/>
      <c r="C326" s="35"/>
      <c r="D326" s="94"/>
      <c r="E326" s="65"/>
      <c r="F326" s="212"/>
      <c r="G326" s="97"/>
      <c r="H326" s="42"/>
      <c r="I326" s="208"/>
      <c r="J326"/>
      <c r="K326"/>
      <c r="L326"/>
      <c r="Q326"/>
      <c r="U326" s="222"/>
    </row>
    <row r="327" spans="1:21" s="98" customFormat="1" ht="25.5">
      <c r="A327" s="34">
        <f>MAX(A$1:A326)+1</f>
        <v>38</v>
      </c>
      <c r="B327" s="35"/>
      <c r="C327" s="36" t="s">
        <v>1033</v>
      </c>
      <c r="D327" s="37"/>
      <c r="E327" s="38" t="s">
        <v>1034</v>
      </c>
      <c r="F327" s="39"/>
      <c r="G327" s="40" t="s">
        <v>21</v>
      </c>
      <c r="H327" s="64">
        <v>19.750000000000004</v>
      </c>
      <c r="I327" s="208"/>
      <c r="J327"/>
      <c r="K327"/>
      <c r="L327"/>
      <c r="Q327"/>
      <c r="U327" s="222"/>
    </row>
    <row r="328" spans="1:21" s="98" customFormat="1" ht="25.5">
      <c r="A328" s="145"/>
      <c r="B328" s="35"/>
      <c r="C328" s="66"/>
      <c r="D328" s="67" t="s">
        <v>1035</v>
      </c>
      <c r="E328" s="71" t="s">
        <v>1036</v>
      </c>
      <c r="F328" s="61"/>
      <c r="G328" s="62" t="s">
        <v>21</v>
      </c>
      <c r="H328" s="83">
        <v>19.750000000000004</v>
      </c>
      <c r="I328" s="208"/>
      <c r="J328"/>
      <c r="K328"/>
      <c r="L328"/>
      <c r="Q328"/>
      <c r="U328" s="222"/>
    </row>
    <row r="329" spans="1:21" s="98" customFormat="1" ht="38.25">
      <c r="A329" s="145"/>
      <c r="B329" s="35"/>
      <c r="C329" s="66"/>
      <c r="D329" s="67"/>
      <c r="E329" s="65" t="s">
        <v>1037</v>
      </c>
      <c r="F329" s="68">
        <v>17.920000000000002</v>
      </c>
      <c r="G329" s="62"/>
      <c r="H329" s="42"/>
      <c r="I329" s="208"/>
      <c r="J329"/>
      <c r="K329"/>
      <c r="L329"/>
      <c r="Q329"/>
      <c r="U329" s="222"/>
    </row>
    <row r="330" spans="1:21" s="98" customFormat="1" ht="25.5">
      <c r="A330" s="145"/>
      <c r="B330" s="35"/>
      <c r="C330" s="66"/>
      <c r="D330" s="67"/>
      <c r="E330" s="65" t="s">
        <v>1038</v>
      </c>
      <c r="F330" s="68">
        <v>0.92</v>
      </c>
      <c r="G330" s="62"/>
      <c r="H330" s="42"/>
      <c r="I330" s="208"/>
      <c r="J330"/>
      <c r="K330"/>
      <c r="L330"/>
      <c r="Q330"/>
      <c r="U330" s="222"/>
    </row>
    <row r="331" spans="1:21" s="98" customFormat="1" ht="38.25">
      <c r="A331" s="145"/>
      <c r="B331" s="35"/>
      <c r="C331" s="66"/>
      <c r="D331" s="67"/>
      <c r="E331" s="65" t="s">
        <v>1039</v>
      </c>
      <c r="F331" s="225">
        <v>0.91</v>
      </c>
      <c r="G331" s="62"/>
      <c r="H331" s="42"/>
      <c r="I331" s="208"/>
      <c r="J331"/>
      <c r="K331"/>
      <c r="L331"/>
      <c r="Q331"/>
      <c r="U331" s="222"/>
    </row>
    <row r="332" spans="1:21" s="98" customFormat="1">
      <c r="A332" s="145"/>
      <c r="B332" s="35"/>
      <c r="C332" s="66"/>
      <c r="D332" s="67"/>
      <c r="E332" s="71"/>
      <c r="F332" s="68">
        <f>SUM(F329:F331)</f>
        <v>19.750000000000004</v>
      </c>
      <c r="G332" s="62"/>
      <c r="H332" s="42"/>
      <c r="I332" s="208"/>
      <c r="J332"/>
      <c r="K332"/>
      <c r="L332"/>
      <c r="Q332"/>
      <c r="U332" s="222"/>
    </row>
    <row r="333" spans="1:21" s="98" customFormat="1">
      <c r="A333" s="145"/>
      <c r="B333" s="35"/>
      <c r="C333" s="35"/>
      <c r="D333" s="94"/>
      <c r="E333" s="50"/>
      <c r="F333" s="100"/>
      <c r="G333" s="97"/>
      <c r="H333" s="42"/>
      <c r="I333" s="208"/>
      <c r="J333"/>
      <c r="K333"/>
      <c r="L333"/>
      <c r="Q333"/>
      <c r="U333" s="222"/>
    </row>
    <row r="334" spans="1:21" s="98" customFormat="1" ht="25.5">
      <c r="A334" s="34">
        <f>MAX(A$1:A333)+1</f>
        <v>39</v>
      </c>
      <c r="B334" s="35"/>
      <c r="C334" s="36" t="s">
        <v>773</v>
      </c>
      <c r="D334" s="37"/>
      <c r="E334" s="38" t="s">
        <v>774</v>
      </c>
      <c r="F334" s="39"/>
      <c r="G334" s="40" t="s">
        <v>21</v>
      </c>
      <c r="H334" s="52">
        <v>48</v>
      </c>
      <c r="I334" s="221"/>
      <c r="J334"/>
      <c r="K334"/>
      <c r="L334"/>
      <c r="Q334"/>
      <c r="U334" s="222"/>
    </row>
    <row r="335" spans="1:21" s="98" customFormat="1" ht="25.5">
      <c r="A335" s="145"/>
      <c r="B335" s="35"/>
      <c r="C335" s="35"/>
      <c r="D335" s="94"/>
      <c r="E335" s="65" t="s">
        <v>1040</v>
      </c>
      <c r="F335" s="212">
        <f>0.5*96</f>
        <v>48</v>
      </c>
      <c r="G335" s="97"/>
      <c r="H335" s="42"/>
      <c r="I335" s="693"/>
      <c r="J335" s="266"/>
      <c r="K335" s="266"/>
      <c r="L335"/>
      <c r="Q335"/>
      <c r="U335" s="222"/>
    </row>
    <row r="336" spans="1:21" s="98" customFormat="1">
      <c r="A336" s="145"/>
      <c r="B336" s="35"/>
      <c r="C336" s="35"/>
      <c r="D336" s="94"/>
      <c r="E336" s="65"/>
      <c r="F336" s="212"/>
      <c r="G336" s="97"/>
      <c r="H336" s="42"/>
      <c r="I336" s="208"/>
      <c r="J336"/>
      <c r="K336"/>
      <c r="L336"/>
      <c r="Q336"/>
      <c r="U336" s="222"/>
    </row>
    <row r="337" spans="1:21" s="98" customFormat="1" ht="25.5">
      <c r="A337" s="34">
        <f>MAX(A$1:A336)+1</f>
        <v>40</v>
      </c>
      <c r="B337" s="35"/>
      <c r="C337" s="36" t="s">
        <v>464</v>
      </c>
      <c r="D337" s="37"/>
      <c r="E337" s="38" t="s">
        <v>465</v>
      </c>
      <c r="F337" s="39"/>
      <c r="G337" s="40" t="s">
        <v>21</v>
      </c>
      <c r="H337" s="128">
        <v>320</v>
      </c>
      <c r="I337" s="695"/>
      <c r="J337"/>
      <c r="K337"/>
      <c r="L337"/>
      <c r="Q337"/>
      <c r="U337" s="222"/>
    </row>
    <row r="338" spans="1:21" s="98" customFormat="1" ht="25.5">
      <c r="A338" s="145"/>
      <c r="B338" s="35"/>
      <c r="C338" s="66"/>
      <c r="D338" s="67" t="s">
        <v>466</v>
      </c>
      <c r="E338" s="71" t="s">
        <v>467</v>
      </c>
      <c r="F338" s="61"/>
      <c r="G338" s="62" t="s">
        <v>21</v>
      </c>
      <c r="H338" s="124">
        <v>196</v>
      </c>
      <c r="I338" s="208"/>
      <c r="J338"/>
      <c r="K338"/>
      <c r="L338"/>
      <c r="Q338"/>
      <c r="U338" s="222"/>
    </row>
    <row r="339" spans="1:21" s="98" customFormat="1" ht="38.25">
      <c r="A339" s="145"/>
      <c r="B339" s="35"/>
      <c r="C339" s="66"/>
      <c r="D339" s="67"/>
      <c r="E339" s="65" t="s">
        <v>1041</v>
      </c>
      <c r="F339" s="90">
        <v>150</v>
      </c>
      <c r="G339" s="62"/>
      <c r="H339" s="42"/>
      <c r="I339" s="208"/>
      <c r="J339"/>
      <c r="K339"/>
      <c r="L339"/>
      <c r="Q339"/>
      <c r="U339" s="222"/>
    </row>
    <row r="340" spans="1:21" s="98" customFormat="1" ht="38.25">
      <c r="A340" s="145"/>
      <c r="B340" s="35"/>
      <c r="C340" s="66"/>
      <c r="D340" s="67"/>
      <c r="E340" s="65" t="s">
        <v>1042</v>
      </c>
      <c r="F340" s="138">
        <v>46</v>
      </c>
      <c r="G340" s="62"/>
      <c r="H340" s="42"/>
      <c r="I340" s="208"/>
      <c r="J340"/>
      <c r="K340"/>
      <c r="L340"/>
      <c r="Q340"/>
      <c r="U340" s="222"/>
    </row>
    <row r="341" spans="1:21" s="98" customFormat="1">
      <c r="A341" s="145"/>
      <c r="B341" s="35"/>
      <c r="C341" s="66"/>
      <c r="D341" s="67"/>
      <c r="E341" s="71"/>
      <c r="F341" s="90">
        <f>SUM(F339:F340)</f>
        <v>196</v>
      </c>
      <c r="G341" s="62"/>
      <c r="H341" s="42"/>
      <c r="I341" s="208"/>
      <c r="J341"/>
      <c r="K341"/>
      <c r="L341"/>
      <c r="Q341"/>
      <c r="U341" s="222"/>
    </row>
    <row r="342" spans="1:21" s="98" customFormat="1" ht="25.5">
      <c r="A342" s="145"/>
      <c r="B342" s="35"/>
      <c r="C342" s="66"/>
      <c r="D342" s="67" t="s">
        <v>488</v>
      </c>
      <c r="E342" s="71" t="s">
        <v>489</v>
      </c>
      <c r="F342" s="61"/>
      <c r="G342" s="62" t="s">
        <v>21</v>
      </c>
      <c r="H342" s="124">
        <v>124</v>
      </c>
      <c r="I342" s="208"/>
      <c r="J342"/>
      <c r="K342"/>
      <c r="L342"/>
      <c r="Q342"/>
      <c r="U342" s="222"/>
    </row>
    <row r="343" spans="1:21" s="98" customFormat="1" ht="25.5">
      <c r="A343" s="145"/>
      <c r="B343" s="35"/>
      <c r="C343" s="35"/>
      <c r="D343" s="94"/>
      <c r="E343" s="65" t="s">
        <v>1043</v>
      </c>
      <c r="F343" s="224">
        <v>124</v>
      </c>
      <c r="G343" s="97"/>
      <c r="H343" s="42"/>
      <c r="I343" s="208"/>
      <c r="J343"/>
      <c r="K343" s="120"/>
      <c r="L343"/>
      <c r="Q343"/>
      <c r="U343" s="222"/>
    </row>
    <row r="344" spans="1:21" s="98" customFormat="1">
      <c r="A344" s="145"/>
      <c r="B344" s="35"/>
      <c r="C344" s="35"/>
      <c r="D344" s="94"/>
      <c r="E344" s="65"/>
      <c r="F344" s="224"/>
      <c r="G344" s="97"/>
      <c r="H344" s="42"/>
      <c r="I344" s="208"/>
      <c r="J344"/>
      <c r="K344"/>
      <c r="L344"/>
      <c r="Q344"/>
      <c r="U344" s="222"/>
    </row>
    <row r="345" spans="1:21" s="98" customFormat="1" ht="25.5">
      <c r="A345" s="34">
        <f>MAX(A$1:A344)+1</f>
        <v>41</v>
      </c>
      <c r="B345" s="43"/>
      <c r="C345" s="36" t="s">
        <v>263</v>
      </c>
      <c r="D345" s="37"/>
      <c r="E345" s="38" t="s">
        <v>818</v>
      </c>
      <c r="F345" s="39"/>
      <c r="G345" s="40" t="s">
        <v>36</v>
      </c>
      <c r="H345" s="64">
        <v>1500</v>
      </c>
      <c r="I345" s="208"/>
      <c r="J345"/>
      <c r="K345"/>
      <c r="L345"/>
      <c r="Q345"/>
      <c r="U345" s="222"/>
    </row>
    <row r="346" spans="1:21" s="98" customFormat="1" ht="26.25">
      <c r="A346" s="283"/>
      <c r="B346" s="35"/>
      <c r="C346" s="35"/>
      <c r="D346" s="94"/>
      <c r="E346" s="68" t="s">
        <v>1044</v>
      </c>
      <c r="F346" s="90">
        <v>665</v>
      </c>
      <c r="G346" s="97"/>
      <c r="H346" s="124"/>
      <c r="I346" s="693"/>
      <c r="J346"/>
      <c r="K346"/>
      <c r="L346"/>
      <c r="Q346"/>
      <c r="U346" s="222"/>
    </row>
    <row r="347" spans="1:21" s="98" customFormat="1" ht="26.25">
      <c r="A347" s="698"/>
      <c r="B347" s="35"/>
      <c r="C347" s="35"/>
      <c r="D347" s="94"/>
      <c r="E347" s="68" t="s">
        <v>1045</v>
      </c>
      <c r="F347" s="90">
        <v>45</v>
      </c>
      <c r="G347" s="97"/>
      <c r="H347" s="124"/>
      <c r="I347" s="693"/>
      <c r="J347"/>
      <c r="K347"/>
      <c r="L347"/>
      <c r="Q347"/>
      <c r="U347" s="222"/>
    </row>
    <row r="348" spans="1:21" s="98" customFormat="1" ht="26.25">
      <c r="A348" s="698"/>
      <c r="B348" s="35"/>
      <c r="C348" s="35"/>
      <c r="D348" s="94"/>
      <c r="E348" s="68" t="s">
        <v>1046</v>
      </c>
      <c r="F348" s="90">
        <v>255</v>
      </c>
      <c r="G348" s="97"/>
      <c r="H348" s="124"/>
      <c r="I348" s="693"/>
      <c r="J348"/>
      <c r="K348"/>
      <c r="L348"/>
      <c r="Q348"/>
      <c r="U348" s="222"/>
    </row>
    <row r="349" spans="1:21" s="98" customFormat="1" ht="26.25">
      <c r="A349" s="698"/>
      <c r="B349" s="35"/>
      <c r="C349" s="35"/>
      <c r="D349" s="94"/>
      <c r="E349" s="68" t="s">
        <v>1047</v>
      </c>
      <c r="F349" s="90">
        <v>441</v>
      </c>
      <c r="G349" s="97"/>
      <c r="H349" s="124"/>
      <c r="I349" s="693"/>
      <c r="J349"/>
      <c r="K349"/>
      <c r="L349"/>
      <c r="Q349"/>
      <c r="U349" s="222"/>
    </row>
    <row r="350" spans="1:21" s="98" customFormat="1" ht="26.25">
      <c r="A350" s="698"/>
      <c r="B350" s="35"/>
      <c r="C350" s="35"/>
      <c r="D350" s="94"/>
      <c r="E350" s="68" t="s">
        <v>1048</v>
      </c>
      <c r="F350" s="138">
        <v>94</v>
      </c>
      <c r="G350" s="97"/>
      <c r="H350" s="124"/>
      <c r="I350" s="693"/>
      <c r="J350"/>
      <c r="K350"/>
      <c r="L350"/>
      <c r="Q350"/>
      <c r="U350" s="222"/>
    </row>
    <row r="351" spans="1:21" s="98" customFormat="1">
      <c r="A351" s="698"/>
      <c r="B351" s="35"/>
      <c r="C351" s="35"/>
      <c r="D351" s="94"/>
      <c r="E351" s="68"/>
      <c r="F351" s="90">
        <f>SUM(F346:F350)</f>
        <v>1500</v>
      </c>
      <c r="G351" s="97"/>
      <c r="H351" s="124"/>
      <c r="I351" s="693"/>
      <c r="J351"/>
      <c r="K351"/>
      <c r="L351"/>
      <c r="Q351"/>
      <c r="U351" s="222"/>
    </row>
    <row r="352" spans="1:21" s="98" customFormat="1">
      <c r="A352" s="145"/>
      <c r="B352" s="35"/>
      <c r="C352" s="35"/>
      <c r="D352" s="94"/>
      <c r="E352" s="65"/>
      <c r="F352" s="224"/>
      <c r="G352" s="97"/>
      <c r="H352" s="42"/>
      <c r="I352" s="208"/>
      <c r="J352"/>
      <c r="K352"/>
      <c r="L352"/>
      <c r="Q352"/>
      <c r="U352" s="222"/>
    </row>
    <row r="353" spans="1:21" s="98" customFormat="1" ht="25.5">
      <c r="A353" s="34">
        <f>MAX(A$1:A352)+1</f>
        <v>42</v>
      </c>
      <c r="B353" s="35"/>
      <c r="C353" s="36" t="s">
        <v>266</v>
      </c>
      <c r="D353" s="37"/>
      <c r="E353" s="38" t="s">
        <v>267</v>
      </c>
      <c r="F353" s="39"/>
      <c r="G353" s="40" t="s">
        <v>33</v>
      </c>
      <c r="H353" s="64">
        <v>20</v>
      </c>
      <c r="I353" s="695"/>
      <c r="J353"/>
      <c r="K353"/>
      <c r="L353"/>
      <c r="Q353"/>
      <c r="U353" s="222"/>
    </row>
    <row r="354" spans="1:21" s="98" customFormat="1" ht="25.5">
      <c r="A354" s="145"/>
      <c r="B354" s="35"/>
      <c r="C354" s="35"/>
      <c r="D354" s="67" t="s">
        <v>268</v>
      </c>
      <c r="E354" s="71" t="s">
        <v>269</v>
      </c>
      <c r="F354" s="61"/>
      <c r="G354" s="62" t="s">
        <v>33</v>
      </c>
      <c r="H354" s="83">
        <v>20</v>
      </c>
      <c r="I354" s="208"/>
      <c r="J354"/>
      <c r="K354"/>
      <c r="L354"/>
      <c r="Q354"/>
      <c r="U354" s="222"/>
    </row>
    <row r="355" spans="1:21" s="98" customFormat="1">
      <c r="A355" s="145"/>
      <c r="B355" s="35"/>
      <c r="C355" s="35"/>
      <c r="D355" s="94"/>
      <c r="E355" s="84" t="s">
        <v>1049</v>
      </c>
      <c r="F355" s="212"/>
      <c r="G355" s="97"/>
      <c r="H355" s="42"/>
      <c r="I355" s="208"/>
      <c r="J355"/>
      <c r="K355"/>
      <c r="L355"/>
      <c r="Q355"/>
      <c r="U355" s="222"/>
    </row>
    <row r="356" spans="1:21" s="98" customFormat="1" ht="25.5">
      <c r="A356" s="145"/>
      <c r="B356" s="35"/>
      <c r="C356" s="35"/>
      <c r="D356" s="94"/>
      <c r="E356" s="77" t="s">
        <v>1050</v>
      </c>
      <c r="F356" s="212">
        <v>1</v>
      </c>
      <c r="G356" s="97"/>
      <c r="H356" s="42"/>
      <c r="I356" s="208"/>
      <c r="J356"/>
      <c r="K356"/>
      <c r="L356"/>
      <c r="M356" s="699"/>
      <c r="Q356"/>
      <c r="U356" s="222"/>
    </row>
    <row r="357" spans="1:21" s="98" customFormat="1">
      <c r="A357" s="145"/>
      <c r="B357" s="35"/>
      <c r="C357" s="35"/>
      <c r="D357" s="94"/>
      <c r="E357" s="77" t="s">
        <v>1051</v>
      </c>
      <c r="F357" s="212">
        <v>3</v>
      </c>
      <c r="G357" s="97"/>
      <c r="H357" s="42"/>
      <c r="I357" s="208"/>
      <c r="J357"/>
      <c r="K357"/>
      <c r="L357"/>
      <c r="M357" s="699"/>
      <c r="Q357"/>
      <c r="U357" s="222"/>
    </row>
    <row r="358" spans="1:21" s="98" customFormat="1">
      <c r="A358" s="145"/>
      <c r="B358" s="35"/>
      <c r="C358" s="35"/>
      <c r="D358" s="94"/>
      <c r="E358" s="77" t="s">
        <v>1052</v>
      </c>
      <c r="F358" s="212">
        <v>1</v>
      </c>
      <c r="G358" s="97"/>
      <c r="H358" s="42"/>
      <c r="I358" s="208"/>
      <c r="J358"/>
      <c r="K358"/>
      <c r="L358"/>
      <c r="M358" s="699"/>
      <c r="Q358"/>
      <c r="U358" s="222"/>
    </row>
    <row r="359" spans="1:21" s="98" customFormat="1">
      <c r="A359" s="145"/>
      <c r="B359" s="35"/>
      <c r="C359" s="35"/>
      <c r="D359" s="94"/>
      <c r="E359" s="77" t="s">
        <v>1053</v>
      </c>
      <c r="F359" s="212">
        <v>1</v>
      </c>
      <c r="G359" s="97"/>
      <c r="H359" s="42"/>
      <c r="I359" s="208"/>
      <c r="J359"/>
      <c r="K359"/>
      <c r="L359"/>
      <c r="M359" s="699"/>
      <c r="Q359"/>
      <c r="U359" s="222"/>
    </row>
    <row r="360" spans="1:21" s="98" customFormat="1" ht="25.5">
      <c r="A360" s="145"/>
      <c r="B360" s="35"/>
      <c r="C360" s="35"/>
      <c r="D360" s="94"/>
      <c r="E360" s="77" t="s">
        <v>1054</v>
      </c>
      <c r="F360" s="212">
        <v>1</v>
      </c>
      <c r="G360" s="97"/>
      <c r="H360" s="42"/>
      <c r="I360" s="208"/>
      <c r="J360"/>
      <c r="K360"/>
      <c r="L360"/>
      <c r="M360" s="699"/>
      <c r="Q360"/>
      <c r="U360" s="222"/>
    </row>
    <row r="361" spans="1:21" s="98" customFormat="1">
      <c r="A361" s="145"/>
      <c r="B361" s="35"/>
      <c r="C361" s="35"/>
      <c r="D361" s="94"/>
      <c r="E361" s="77" t="s">
        <v>1055</v>
      </c>
      <c r="F361" s="212">
        <v>2</v>
      </c>
      <c r="G361" s="97"/>
      <c r="H361" s="42"/>
      <c r="I361" s="208"/>
      <c r="J361"/>
      <c r="K361"/>
      <c r="L361"/>
      <c r="M361" s="699"/>
      <c r="Q361"/>
      <c r="U361" s="222"/>
    </row>
    <row r="362" spans="1:21" s="98" customFormat="1">
      <c r="A362" s="145"/>
      <c r="B362" s="35"/>
      <c r="C362" s="35"/>
      <c r="D362" s="94"/>
      <c r="E362" s="77" t="s">
        <v>1056</v>
      </c>
      <c r="F362" s="212">
        <v>2</v>
      </c>
      <c r="G362" s="97"/>
      <c r="H362" s="42"/>
      <c r="I362" s="208"/>
      <c r="J362"/>
      <c r="K362"/>
      <c r="L362"/>
      <c r="M362" s="699"/>
      <c r="Q362"/>
      <c r="U362" s="222"/>
    </row>
    <row r="363" spans="1:21" s="98" customFormat="1" ht="25.5">
      <c r="A363" s="145"/>
      <c r="B363" s="35"/>
      <c r="C363" s="35"/>
      <c r="D363" s="94"/>
      <c r="E363" s="70" t="s">
        <v>1057</v>
      </c>
      <c r="F363" s="212">
        <v>2</v>
      </c>
      <c r="G363" s="97"/>
      <c r="H363" s="42"/>
      <c r="I363" s="208"/>
      <c r="J363"/>
      <c r="K363"/>
      <c r="L363"/>
      <c r="M363" s="699"/>
      <c r="Q363"/>
      <c r="U363" s="222"/>
    </row>
    <row r="364" spans="1:21" s="98" customFormat="1">
      <c r="A364" s="145"/>
      <c r="B364" s="35"/>
      <c r="C364" s="35"/>
      <c r="D364" s="94"/>
      <c r="E364" s="77" t="s">
        <v>1058</v>
      </c>
      <c r="F364" s="212">
        <v>2</v>
      </c>
      <c r="G364" s="97"/>
      <c r="H364" s="42"/>
      <c r="I364" s="208"/>
      <c r="J364"/>
      <c r="K364"/>
      <c r="L364"/>
      <c r="M364" s="699"/>
      <c r="Q364"/>
      <c r="U364" s="222"/>
    </row>
    <row r="365" spans="1:21" s="98" customFormat="1">
      <c r="A365" s="145"/>
      <c r="B365" s="35"/>
      <c r="C365" s="35"/>
      <c r="D365" s="94"/>
      <c r="E365" s="77" t="s">
        <v>1059</v>
      </c>
      <c r="F365" s="212">
        <v>1</v>
      </c>
      <c r="G365" s="97"/>
      <c r="H365" s="42"/>
      <c r="I365" s="208"/>
      <c r="J365"/>
      <c r="K365"/>
      <c r="L365"/>
      <c r="M365" s="699"/>
      <c r="Q365"/>
      <c r="U365" s="222"/>
    </row>
    <row r="366" spans="1:21" s="98" customFormat="1" ht="25.5">
      <c r="A366" s="145"/>
      <c r="B366" s="35"/>
      <c r="C366" s="35"/>
      <c r="D366" s="94"/>
      <c r="E366" s="77" t="s">
        <v>1060</v>
      </c>
      <c r="F366" s="213">
        <v>4</v>
      </c>
      <c r="G366" s="97"/>
      <c r="H366" s="42"/>
      <c r="I366" s="208"/>
      <c r="J366"/>
      <c r="K366"/>
      <c r="L366"/>
      <c r="M366" s="699"/>
      <c r="Q366"/>
      <c r="U366" s="222"/>
    </row>
    <row r="367" spans="1:21" s="98" customFormat="1">
      <c r="A367" s="145"/>
      <c r="B367" s="35"/>
      <c r="C367" s="35"/>
      <c r="D367" s="94"/>
      <c r="E367" s="77"/>
      <c r="F367" s="212">
        <f>SUM(F356:F366)</f>
        <v>20</v>
      </c>
      <c r="G367" s="97"/>
      <c r="H367" s="42"/>
      <c r="I367" s="208"/>
      <c r="J367"/>
      <c r="K367"/>
      <c r="L367"/>
      <c r="O367" s="700"/>
      <c r="Q367"/>
      <c r="U367" s="222"/>
    </row>
    <row r="368" spans="1:21" s="98" customFormat="1">
      <c r="A368" s="145"/>
      <c r="B368" s="35"/>
      <c r="C368" s="35"/>
      <c r="D368" s="94"/>
      <c r="E368" s="77" t="s">
        <v>1061</v>
      </c>
      <c r="F368" s="212"/>
      <c r="G368" s="97"/>
      <c r="H368" s="42"/>
      <c r="I368" s="208"/>
      <c r="J368"/>
      <c r="K368"/>
      <c r="L368"/>
      <c r="Q368"/>
      <c r="U368" s="222"/>
    </row>
    <row r="369" spans="1:21" s="98" customFormat="1">
      <c r="A369" s="145"/>
      <c r="B369" s="35"/>
      <c r="C369" s="35"/>
      <c r="D369" s="94"/>
      <c r="E369" s="50"/>
      <c r="F369" s="100"/>
      <c r="G369" s="97"/>
      <c r="H369" s="42"/>
      <c r="I369" s="208"/>
      <c r="J369"/>
      <c r="K369"/>
      <c r="L369"/>
      <c r="Q369"/>
      <c r="U369" s="222"/>
    </row>
    <row r="370" spans="1:21" s="98" customFormat="1" ht="25.5">
      <c r="A370" s="34">
        <f>MAX(A$1:A369)+1</f>
        <v>43</v>
      </c>
      <c r="B370" s="35"/>
      <c r="C370" s="36" t="s">
        <v>341</v>
      </c>
      <c r="D370" s="37"/>
      <c r="E370" s="38" t="s">
        <v>342</v>
      </c>
      <c r="F370" s="39"/>
      <c r="G370" s="40" t="s">
        <v>33</v>
      </c>
      <c r="H370" s="64">
        <v>7</v>
      </c>
      <c r="I370" s="695"/>
      <c r="J370"/>
      <c r="K370"/>
      <c r="L370"/>
      <c r="Q370"/>
      <c r="U370" s="222"/>
    </row>
    <row r="371" spans="1:21" s="98" customFormat="1" ht="25.5">
      <c r="A371" s="145"/>
      <c r="B371" s="35"/>
      <c r="C371" s="35"/>
      <c r="D371" s="67" t="s">
        <v>343</v>
      </c>
      <c r="E371" s="71" t="s">
        <v>344</v>
      </c>
      <c r="F371" s="61"/>
      <c r="G371" s="62" t="s">
        <v>33</v>
      </c>
      <c r="H371" s="83">
        <v>7</v>
      </c>
      <c r="I371" s="208"/>
      <c r="J371"/>
      <c r="K371"/>
      <c r="L371"/>
      <c r="Q371"/>
      <c r="U371" s="222"/>
    </row>
    <row r="372" spans="1:21" s="98" customFormat="1">
      <c r="A372" s="145"/>
      <c r="B372" s="35"/>
      <c r="C372" s="35"/>
      <c r="D372" s="94"/>
      <c r="E372" s="84" t="s">
        <v>1049</v>
      </c>
      <c r="F372" s="100"/>
      <c r="G372" s="97"/>
      <c r="H372" s="42"/>
      <c r="I372" s="208"/>
      <c r="J372"/>
      <c r="K372"/>
      <c r="L372"/>
      <c r="Q372"/>
      <c r="U372" s="222"/>
    </row>
    <row r="373" spans="1:21" s="98" customFormat="1">
      <c r="A373" s="145"/>
      <c r="B373" s="35"/>
      <c r="C373" s="35"/>
      <c r="D373" s="94"/>
      <c r="E373" s="77" t="s">
        <v>1062</v>
      </c>
      <c r="F373" s="212">
        <v>2</v>
      </c>
      <c r="G373" s="97"/>
      <c r="H373" s="42"/>
      <c r="I373" s="701"/>
      <c r="J373" s="702"/>
      <c r="K373" s="702"/>
      <c r="L373"/>
      <c r="M373" s="699"/>
      <c r="Q373"/>
      <c r="U373" s="222"/>
    </row>
    <row r="374" spans="1:21" s="98" customFormat="1">
      <c r="A374" s="145"/>
      <c r="B374" s="35"/>
      <c r="C374" s="35"/>
      <c r="D374" s="94"/>
      <c r="E374" s="77" t="s">
        <v>1063</v>
      </c>
      <c r="F374" s="212">
        <v>1</v>
      </c>
      <c r="G374" s="97"/>
      <c r="H374" s="42"/>
      <c r="I374" s="701"/>
      <c r="J374" s="702"/>
      <c r="K374" s="702"/>
      <c r="L374"/>
      <c r="M374" s="699"/>
      <c r="Q374"/>
      <c r="U374" s="222"/>
    </row>
    <row r="375" spans="1:21" s="98" customFormat="1">
      <c r="A375" s="145"/>
      <c r="B375" s="35"/>
      <c r="C375" s="35"/>
      <c r="D375" s="94"/>
      <c r="E375" s="77" t="s">
        <v>1063</v>
      </c>
      <c r="F375" s="212">
        <v>2</v>
      </c>
      <c r="G375" s="97"/>
      <c r="H375" s="42"/>
      <c r="I375" s="701"/>
      <c r="J375" s="702"/>
      <c r="K375" s="702"/>
      <c r="L375"/>
      <c r="M375" s="699"/>
      <c r="Q375"/>
      <c r="U375" s="222"/>
    </row>
    <row r="376" spans="1:21" s="98" customFormat="1" ht="25.5">
      <c r="A376" s="145"/>
      <c r="B376" s="35"/>
      <c r="C376" s="35"/>
      <c r="D376" s="94"/>
      <c r="E376" s="77" t="s">
        <v>1064</v>
      </c>
      <c r="F376" s="212">
        <v>1</v>
      </c>
      <c r="G376" s="97"/>
      <c r="H376" s="42"/>
      <c r="I376" s="701"/>
      <c r="J376" s="702"/>
      <c r="K376" s="702"/>
      <c r="L376"/>
      <c r="M376" s="699"/>
      <c r="Q376"/>
      <c r="U376" s="222"/>
    </row>
    <row r="377" spans="1:21" s="98" customFormat="1" ht="25.5">
      <c r="A377" s="145"/>
      <c r="B377" s="35"/>
      <c r="C377" s="35"/>
      <c r="D377" s="94"/>
      <c r="E377" s="77" t="s">
        <v>1065</v>
      </c>
      <c r="F377" s="213">
        <v>1</v>
      </c>
      <c r="G377" s="97"/>
      <c r="H377" s="42"/>
      <c r="I377" s="701"/>
      <c r="J377" s="702"/>
      <c r="K377" s="702"/>
      <c r="L377"/>
      <c r="M377" s="699"/>
      <c r="Q377"/>
      <c r="U377" s="222"/>
    </row>
    <row r="378" spans="1:21" s="98" customFormat="1" ht="18.75">
      <c r="A378" s="145"/>
      <c r="B378" s="35"/>
      <c r="C378" s="35"/>
      <c r="D378" s="94"/>
      <c r="E378" s="77"/>
      <c r="F378" s="212">
        <f>SUM(F373:F377)</f>
        <v>7</v>
      </c>
      <c r="G378" s="97"/>
      <c r="H378" s="42"/>
      <c r="I378" s="696"/>
      <c r="J378"/>
      <c r="K378"/>
      <c r="L378"/>
      <c r="O378" s="700"/>
      <c r="Q378"/>
      <c r="U378" s="222"/>
    </row>
    <row r="379" spans="1:21" s="98" customFormat="1">
      <c r="A379" s="145"/>
      <c r="B379" s="35"/>
      <c r="C379" s="35"/>
      <c r="D379" s="94"/>
      <c r="E379" s="77" t="s">
        <v>1066</v>
      </c>
      <c r="F379" s="213"/>
      <c r="G379" s="97"/>
      <c r="H379" s="42"/>
      <c r="I379" s="208"/>
      <c r="J379"/>
      <c r="K379"/>
      <c r="L379"/>
      <c r="Q379"/>
      <c r="U379" s="222"/>
    </row>
    <row r="380" spans="1:21" s="98" customFormat="1">
      <c r="A380" s="145"/>
      <c r="B380" s="35"/>
      <c r="C380" s="35"/>
      <c r="D380" s="94"/>
      <c r="E380" s="77"/>
      <c r="F380" s="100"/>
      <c r="G380" s="97"/>
      <c r="H380" s="42"/>
      <c r="I380" s="208"/>
      <c r="J380"/>
      <c r="K380"/>
      <c r="L380"/>
      <c r="Q380"/>
      <c r="U380" s="222"/>
    </row>
    <row r="381" spans="1:21" s="98" customFormat="1">
      <c r="A381" s="34">
        <f>MAX(A$1:A380)+1</f>
        <v>44</v>
      </c>
      <c r="B381" s="35"/>
      <c r="C381" s="36" t="s">
        <v>373</v>
      </c>
      <c r="D381" s="37"/>
      <c r="E381" s="38" t="s">
        <v>374</v>
      </c>
      <c r="F381" s="39"/>
      <c r="G381" s="40" t="s">
        <v>36</v>
      </c>
      <c r="H381" s="64">
        <v>480</v>
      </c>
      <c r="I381" s="208"/>
      <c r="J381"/>
      <c r="K381"/>
      <c r="L381"/>
      <c r="Q381"/>
      <c r="U381" s="222"/>
    </row>
    <row r="382" spans="1:21" s="98" customFormat="1">
      <c r="A382" s="145"/>
      <c r="B382" s="35"/>
      <c r="C382" s="36"/>
      <c r="D382" s="67" t="s">
        <v>375</v>
      </c>
      <c r="E382" s="71" t="s">
        <v>376</v>
      </c>
      <c r="F382" s="61"/>
      <c r="G382" s="62" t="s">
        <v>36</v>
      </c>
      <c r="H382" s="83">
        <v>480</v>
      </c>
      <c r="I382" s="208"/>
      <c r="J382"/>
      <c r="K382"/>
      <c r="L382"/>
      <c r="Q382"/>
      <c r="U382" s="222"/>
    </row>
    <row r="383" spans="1:21" s="98" customFormat="1" ht="27.75" customHeight="1">
      <c r="A383" s="145"/>
      <c r="B383" s="35"/>
      <c r="C383" s="36"/>
      <c r="D383" s="37"/>
      <c r="E383" s="68" t="s">
        <v>1067</v>
      </c>
      <c r="F383" s="46">
        <v>480</v>
      </c>
      <c r="G383" s="40"/>
      <c r="H383" s="64"/>
      <c r="I383" s="208"/>
      <c r="J383"/>
      <c r="K383"/>
      <c r="L383"/>
      <c r="Q383"/>
      <c r="U383" s="222"/>
    </row>
    <row r="384" spans="1:21" s="98" customFormat="1">
      <c r="A384" s="145"/>
      <c r="B384" s="35"/>
      <c r="C384" s="35"/>
      <c r="D384" s="94"/>
      <c r="E384" s="65"/>
      <c r="F384" s="212"/>
      <c r="G384" s="97"/>
      <c r="H384" s="42"/>
      <c r="I384" s="208"/>
      <c r="J384"/>
      <c r="K384"/>
      <c r="L384"/>
      <c r="Q384"/>
      <c r="U384" s="222"/>
    </row>
    <row r="385" spans="1:21" s="98" customFormat="1">
      <c r="A385" s="34">
        <f>MAX(A$1:A384)+1</f>
        <v>45</v>
      </c>
      <c r="B385" s="35"/>
      <c r="C385" s="36" t="s">
        <v>377</v>
      </c>
      <c r="D385" s="37"/>
      <c r="E385" s="38" t="s">
        <v>378</v>
      </c>
      <c r="F385" s="39"/>
      <c r="G385" s="40" t="s">
        <v>36</v>
      </c>
      <c r="H385" s="64">
        <v>1520</v>
      </c>
      <c r="I385" s="208"/>
      <c r="J385"/>
      <c r="K385"/>
      <c r="L385"/>
      <c r="Q385"/>
      <c r="U385" s="222"/>
    </row>
    <row r="386" spans="1:21" s="98" customFormat="1">
      <c r="A386" s="145"/>
      <c r="B386" s="35"/>
      <c r="C386" s="66"/>
      <c r="D386" s="67" t="s">
        <v>379</v>
      </c>
      <c r="E386" s="71" t="s">
        <v>380</v>
      </c>
      <c r="F386" s="61"/>
      <c r="G386" s="62" t="s">
        <v>36</v>
      </c>
      <c r="H386" s="83">
        <v>1520</v>
      </c>
      <c r="I386" s="208"/>
      <c r="J386"/>
      <c r="K386"/>
      <c r="L386"/>
      <c r="Q386"/>
      <c r="U386" s="222"/>
    </row>
    <row r="387" spans="1:21" s="98" customFormat="1" ht="25.5">
      <c r="A387" s="145"/>
      <c r="B387" s="35"/>
      <c r="C387" s="66"/>
      <c r="D387" s="67"/>
      <c r="E387" s="65" t="s">
        <v>1068</v>
      </c>
      <c r="F387" s="224">
        <v>1520</v>
      </c>
      <c r="G387" s="62"/>
      <c r="H387" s="83"/>
      <c r="I387" s="208"/>
      <c r="J387"/>
      <c r="K387"/>
      <c r="L387"/>
      <c r="Q387"/>
      <c r="U387" s="222"/>
    </row>
    <row r="388" spans="1:21" s="98" customFormat="1">
      <c r="A388" s="145"/>
      <c r="B388" s="35"/>
      <c r="C388" s="35"/>
      <c r="D388" s="94"/>
      <c r="E388" s="65"/>
      <c r="F388" s="212"/>
      <c r="G388" s="97"/>
      <c r="H388" s="42"/>
      <c r="I388" s="208"/>
      <c r="J388"/>
      <c r="K388"/>
      <c r="L388"/>
      <c r="Q388"/>
      <c r="U388" s="222"/>
    </row>
    <row r="389" spans="1:21" s="98" customFormat="1" ht="25.5">
      <c r="A389" s="220">
        <f>MAX(A$1:A387)+1</f>
        <v>46</v>
      </c>
      <c r="B389" s="43"/>
      <c r="C389" s="36" t="s">
        <v>304</v>
      </c>
      <c r="D389" s="37"/>
      <c r="E389" s="38" t="s">
        <v>305</v>
      </c>
      <c r="F389" s="39"/>
      <c r="G389" s="40" t="s">
        <v>21</v>
      </c>
      <c r="H389" s="52">
        <v>360</v>
      </c>
      <c r="I389" s="208"/>
      <c r="J389"/>
      <c r="K389"/>
      <c r="L389"/>
      <c r="Q389"/>
      <c r="U389" s="222"/>
    </row>
    <row r="390" spans="1:21" s="98" customFormat="1" ht="25.5">
      <c r="A390" s="178"/>
      <c r="B390" s="217"/>
      <c r="C390" s="217"/>
      <c r="D390" s="67" t="s">
        <v>306</v>
      </c>
      <c r="E390" s="71" t="s">
        <v>307</v>
      </c>
      <c r="F390" s="61"/>
      <c r="G390" s="218" t="s">
        <v>21</v>
      </c>
      <c r="H390" s="99">
        <v>360</v>
      </c>
      <c r="I390" s="208"/>
      <c r="J390"/>
      <c r="K390"/>
      <c r="L390"/>
      <c r="Q390"/>
      <c r="U390" s="222"/>
    </row>
    <row r="391" spans="1:21" s="98" customFormat="1" ht="25.5">
      <c r="A391" s="72"/>
      <c r="B391" s="73"/>
      <c r="C391" s="66"/>
      <c r="D391" s="67"/>
      <c r="E391" s="65" t="s">
        <v>1069</v>
      </c>
      <c r="F391" s="46">
        <v>360</v>
      </c>
      <c r="G391" s="62"/>
      <c r="H391" s="42"/>
      <c r="I391" s="208"/>
      <c r="J391"/>
      <c r="K391"/>
      <c r="L391"/>
      <c r="Q391"/>
      <c r="U391" s="222"/>
    </row>
    <row r="392" spans="1:21" s="98" customFormat="1">
      <c r="A392" s="145"/>
      <c r="B392" s="35"/>
      <c r="C392" s="35"/>
      <c r="D392" s="94"/>
      <c r="E392" s="65"/>
      <c r="F392" s="212"/>
      <c r="G392" s="97"/>
      <c r="H392" s="42"/>
      <c r="I392" s="208"/>
      <c r="J392"/>
      <c r="K392"/>
      <c r="L392"/>
      <c r="Q392"/>
      <c r="U392" s="222"/>
    </row>
    <row r="393" spans="1:21" ht="25.5">
      <c r="A393" s="105"/>
      <c r="B393" s="35" t="s">
        <v>270</v>
      </c>
      <c r="C393" s="35"/>
      <c r="D393" s="94"/>
      <c r="E393" s="211" t="s">
        <v>271</v>
      </c>
      <c r="F393" s="46"/>
      <c r="G393" s="62"/>
      <c r="H393" s="74"/>
    </row>
    <row r="394" spans="1:21">
      <c r="A394" s="105"/>
      <c r="B394" s="35"/>
      <c r="C394" s="35"/>
      <c r="D394" s="94"/>
      <c r="E394" s="211"/>
      <c r="F394" s="46"/>
      <c r="G394" s="62"/>
      <c r="H394" s="74"/>
    </row>
    <row r="395" spans="1:21" ht="25.5">
      <c r="A395" s="34">
        <f>MAX(A$1:A394)+1</f>
        <v>47</v>
      </c>
      <c r="B395" s="35"/>
      <c r="C395" s="36" t="s">
        <v>385</v>
      </c>
      <c r="D395" s="37"/>
      <c r="E395" s="38" t="s">
        <v>386</v>
      </c>
      <c r="F395" s="39"/>
      <c r="G395" s="40" t="s">
        <v>18</v>
      </c>
      <c r="H395" s="64">
        <v>1031.1300000000001</v>
      </c>
      <c r="I395" s="695"/>
    </row>
    <row r="396" spans="1:21" ht="25.5">
      <c r="A396" s="105"/>
      <c r="B396" s="35"/>
      <c r="C396" s="35"/>
      <c r="D396" s="94"/>
      <c r="E396" s="65" t="s">
        <v>1070</v>
      </c>
      <c r="F396" s="46">
        <f>0.2*360</f>
        <v>72</v>
      </c>
      <c r="G396" s="62"/>
      <c r="H396" s="74"/>
    </row>
    <row r="397" spans="1:21" ht="25.5">
      <c r="A397" s="105"/>
      <c r="B397" s="35"/>
      <c r="C397" s="35"/>
      <c r="D397" s="94"/>
      <c r="E397" s="65" t="s">
        <v>1071</v>
      </c>
      <c r="F397" s="46">
        <f>0.2*105</f>
        <v>21</v>
      </c>
      <c r="G397" s="62"/>
      <c r="H397" s="74"/>
    </row>
    <row r="398" spans="1:21" ht="25.5">
      <c r="A398" s="105"/>
      <c r="B398" s="35"/>
      <c r="C398" s="35"/>
      <c r="D398" s="94"/>
      <c r="E398" s="65" t="s">
        <v>1072</v>
      </c>
      <c r="F398" s="46">
        <f>0.2*53</f>
        <v>10.600000000000001</v>
      </c>
      <c r="G398" s="62"/>
      <c r="H398" s="74"/>
    </row>
    <row r="399" spans="1:21" ht="25.5">
      <c r="A399" s="105"/>
      <c r="B399" s="35"/>
      <c r="C399" s="35"/>
      <c r="D399" s="94"/>
      <c r="E399" s="65" t="s">
        <v>1073</v>
      </c>
      <c r="F399" s="46">
        <f>0.15*4995</f>
        <v>749.25</v>
      </c>
      <c r="G399" s="62"/>
      <c r="H399" s="74"/>
    </row>
    <row r="400" spans="1:21" ht="25.5">
      <c r="A400" s="105"/>
      <c r="B400" s="35"/>
      <c r="C400" s="35"/>
      <c r="D400" s="94"/>
      <c r="E400" s="65" t="s">
        <v>1074</v>
      </c>
      <c r="F400" s="46">
        <f>0.15*868.5</f>
        <v>130.27500000000001</v>
      </c>
      <c r="G400" s="62"/>
      <c r="H400" s="74"/>
    </row>
    <row r="401" spans="1:12" ht="25.5">
      <c r="A401" s="105"/>
      <c r="B401" s="35"/>
      <c r="C401" s="35"/>
      <c r="D401" s="94"/>
      <c r="E401" s="65" t="s">
        <v>1075</v>
      </c>
      <c r="F401" s="69">
        <f>0.15*320</f>
        <v>48</v>
      </c>
      <c r="G401" s="62"/>
      <c r="H401" s="74"/>
    </row>
    <row r="402" spans="1:12">
      <c r="A402" s="105"/>
      <c r="B402" s="35"/>
      <c r="C402" s="35"/>
      <c r="D402" s="94"/>
      <c r="E402" s="65"/>
      <c r="F402" s="90">
        <f>SUM(F396:F401)</f>
        <v>1031.125</v>
      </c>
      <c r="G402" s="62"/>
      <c r="H402" s="74"/>
      <c r="L402" s="120"/>
    </row>
    <row r="403" spans="1:12">
      <c r="A403" s="105"/>
      <c r="B403" s="35"/>
      <c r="C403" s="35"/>
      <c r="D403" s="94"/>
      <c r="E403" s="65"/>
      <c r="F403" s="46"/>
      <c r="G403" s="62"/>
      <c r="H403" s="74"/>
      <c r="L403" s="120"/>
    </row>
    <row r="404" spans="1:12" ht="25.5">
      <c r="A404" s="34">
        <f>MAX(A$1:A403)+1</f>
        <v>48</v>
      </c>
      <c r="B404" s="35"/>
      <c r="C404" s="36" t="s">
        <v>310</v>
      </c>
      <c r="D404" s="37"/>
      <c r="E404" s="38" t="s">
        <v>311</v>
      </c>
      <c r="F404" s="39"/>
      <c r="G404" s="40" t="s">
        <v>18</v>
      </c>
      <c r="H404" s="52">
        <v>15.75</v>
      </c>
      <c r="I404" s="695"/>
      <c r="L404" s="120"/>
    </row>
    <row r="405" spans="1:12" ht="25.5">
      <c r="A405" s="105"/>
      <c r="B405" s="35"/>
      <c r="C405" s="35"/>
      <c r="D405" s="94"/>
      <c r="E405" s="65" t="s">
        <v>1076</v>
      </c>
      <c r="F405" s="46">
        <f>0.15*105</f>
        <v>15.75</v>
      </c>
      <c r="G405" s="62"/>
      <c r="H405" s="74"/>
      <c r="L405" s="120"/>
    </row>
    <row r="406" spans="1:12">
      <c r="A406" s="105"/>
      <c r="B406" s="35"/>
      <c r="C406" s="35"/>
      <c r="D406" s="94"/>
      <c r="E406" s="65"/>
      <c r="F406" s="46"/>
      <c r="G406" s="62"/>
      <c r="H406" s="74"/>
      <c r="L406" s="120"/>
    </row>
    <row r="407" spans="1:12" ht="25.5">
      <c r="A407" s="34">
        <f>MAX(A$1:A406)+1</f>
        <v>49</v>
      </c>
      <c r="B407" s="35"/>
      <c r="C407" s="36" t="s">
        <v>430</v>
      </c>
      <c r="D407" s="37"/>
      <c r="E407" s="38" t="s">
        <v>431</v>
      </c>
      <c r="F407" s="39"/>
      <c r="G407" s="40" t="s">
        <v>18</v>
      </c>
      <c r="H407" s="64">
        <v>910.19999999999993</v>
      </c>
      <c r="I407" s="695"/>
    </row>
    <row r="408" spans="1:12" ht="38.25">
      <c r="A408" s="145"/>
      <c r="B408" s="35"/>
      <c r="C408" s="36"/>
      <c r="D408" s="67" t="s">
        <v>1077</v>
      </c>
      <c r="E408" s="71" t="s">
        <v>1078</v>
      </c>
      <c r="F408" s="61"/>
      <c r="G408" s="62" t="s">
        <v>18</v>
      </c>
      <c r="H408" s="83">
        <v>820.19999999999993</v>
      </c>
    </row>
    <row r="409" spans="1:12" ht="25.5">
      <c r="A409" s="145"/>
      <c r="B409" s="35"/>
      <c r="C409" s="36"/>
      <c r="D409" s="37"/>
      <c r="E409" s="65" t="s">
        <v>1079</v>
      </c>
      <c r="F409" s="46">
        <f>0.12*5550</f>
        <v>666</v>
      </c>
      <c r="G409" s="40"/>
      <c r="H409" s="64"/>
    </row>
    <row r="410" spans="1:12" ht="25.5">
      <c r="A410" s="145"/>
      <c r="B410" s="35"/>
      <c r="C410" s="36"/>
      <c r="D410" s="37"/>
      <c r="E410" s="65" t="s">
        <v>1080</v>
      </c>
      <c r="F410" s="46">
        <f>0.12*965</f>
        <v>115.8</v>
      </c>
      <c r="G410" s="40"/>
      <c r="H410" s="64"/>
    </row>
    <row r="411" spans="1:12" ht="25.5">
      <c r="A411" s="145"/>
      <c r="B411" s="35"/>
      <c r="C411" s="36"/>
      <c r="D411" s="37"/>
      <c r="E411" s="65" t="s">
        <v>1081</v>
      </c>
      <c r="F411" s="69">
        <f>0.12*320</f>
        <v>38.4</v>
      </c>
      <c r="G411" s="40"/>
      <c r="H411" s="64"/>
    </row>
    <row r="412" spans="1:12">
      <c r="A412" s="145"/>
      <c r="B412" s="35"/>
      <c r="C412" s="36"/>
      <c r="D412" s="37"/>
      <c r="E412" s="65"/>
      <c r="F412" s="46">
        <f>SUM(F409:F411)</f>
        <v>820.19999999999993</v>
      </c>
      <c r="G412" s="40"/>
      <c r="H412" s="64"/>
    </row>
    <row r="413" spans="1:12" ht="39">
      <c r="A413" s="105"/>
      <c r="B413" s="35"/>
      <c r="C413" s="35"/>
      <c r="D413" s="67" t="s">
        <v>1082</v>
      </c>
      <c r="E413" s="61" t="s">
        <v>1083</v>
      </c>
      <c r="F413" s="61"/>
      <c r="G413" s="62" t="s">
        <v>18</v>
      </c>
      <c r="H413" s="83">
        <v>90</v>
      </c>
    </row>
    <row r="414" spans="1:12" ht="25.5">
      <c r="A414" s="105"/>
      <c r="B414" s="35"/>
      <c r="C414" s="35"/>
      <c r="D414" s="94"/>
      <c r="E414" s="65" t="s">
        <v>1084</v>
      </c>
      <c r="F414" s="46">
        <f>0.25*360</f>
        <v>90</v>
      </c>
      <c r="G414" s="62"/>
      <c r="H414" s="74"/>
    </row>
    <row r="415" spans="1:12">
      <c r="A415" s="105"/>
      <c r="B415" s="35"/>
      <c r="C415" s="35"/>
      <c r="D415" s="94"/>
      <c r="E415" s="65"/>
      <c r="F415" s="46"/>
      <c r="G415" s="62"/>
      <c r="H415" s="74"/>
      <c r="L415" s="120"/>
    </row>
    <row r="416" spans="1:12" ht="25.5">
      <c r="A416" s="34">
        <f>MAX(A$1:A415)+1</f>
        <v>50</v>
      </c>
      <c r="B416" s="35"/>
      <c r="C416" s="36" t="s">
        <v>312</v>
      </c>
      <c r="D416" s="37"/>
      <c r="E416" s="38" t="s">
        <v>313</v>
      </c>
      <c r="F416" s="39"/>
      <c r="G416" s="40" t="s">
        <v>21</v>
      </c>
      <c r="H416" s="64">
        <v>7115</v>
      </c>
      <c r="I416" s="695"/>
    </row>
    <row r="417" spans="1:21" ht="25.5">
      <c r="A417" s="145"/>
      <c r="B417" s="35"/>
      <c r="C417" s="36"/>
      <c r="D417" s="67" t="s">
        <v>613</v>
      </c>
      <c r="E417" s="71" t="s">
        <v>1085</v>
      </c>
      <c r="F417" s="61"/>
      <c r="G417" s="62" t="s">
        <v>21</v>
      </c>
      <c r="H417" s="83">
        <v>6755</v>
      </c>
    </row>
    <row r="418" spans="1:21">
      <c r="A418" s="145"/>
      <c r="B418" s="35"/>
      <c r="C418" s="36"/>
      <c r="D418" s="37"/>
      <c r="E418" s="65" t="s">
        <v>1086</v>
      </c>
      <c r="F418" s="90">
        <v>240</v>
      </c>
      <c r="G418" s="40"/>
      <c r="H418" s="64"/>
    </row>
    <row r="419" spans="1:21">
      <c r="A419" s="145"/>
      <c r="B419" s="35"/>
      <c r="C419" s="36"/>
      <c r="D419" s="37"/>
      <c r="E419" s="65" t="s">
        <v>1087</v>
      </c>
      <c r="F419" s="90">
        <v>5550</v>
      </c>
      <c r="G419" s="40"/>
      <c r="H419" s="64"/>
    </row>
    <row r="420" spans="1:21">
      <c r="A420" s="145"/>
      <c r="B420" s="35"/>
      <c r="C420" s="36"/>
      <c r="D420" s="37"/>
      <c r="E420" s="65" t="s">
        <v>1087</v>
      </c>
      <c r="F420" s="138">
        <v>965</v>
      </c>
      <c r="G420" s="40"/>
      <c r="H420" s="64"/>
    </row>
    <row r="421" spans="1:21">
      <c r="A421" s="145"/>
      <c r="B421" s="35"/>
      <c r="C421" s="36"/>
      <c r="D421" s="37"/>
      <c r="E421" s="65"/>
      <c r="F421" s="90">
        <f>SUM(F418:F420)</f>
        <v>6755</v>
      </c>
      <c r="G421" s="40"/>
      <c r="H421" s="64"/>
    </row>
    <row r="422" spans="1:21" ht="38.25">
      <c r="A422" s="105"/>
      <c r="B422" s="35"/>
      <c r="C422" s="66"/>
      <c r="D422" s="67" t="s">
        <v>1088</v>
      </c>
      <c r="E422" s="71" t="s">
        <v>1089</v>
      </c>
      <c r="F422" s="61"/>
      <c r="G422" s="62" t="s">
        <v>21</v>
      </c>
      <c r="H422" s="83">
        <v>360</v>
      </c>
    </row>
    <row r="423" spans="1:21">
      <c r="A423" s="105"/>
      <c r="B423" s="35"/>
      <c r="C423" s="35"/>
      <c r="D423" s="94"/>
      <c r="E423" s="65" t="s">
        <v>1090</v>
      </c>
      <c r="F423" s="46">
        <v>360</v>
      </c>
      <c r="G423" s="62"/>
      <c r="H423" s="74"/>
    </row>
    <row r="424" spans="1:21">
      <c r="A424" s="105"/>
      <c r="B424" s="35"/>
      <c r="C424" s="35"/>
      <c r="D424" s="94"/>
      <c r="E424" s="65"/>
      <c r="F424" s="46"/>
      <c r="G424" s="62"/>
      <c r="H424" s="74"/>
      <c r="K424" s="120"/>
    </row>
    <row r="425" spans="1:21" ht="25.5">
      <c r="A425" s="34">
        <f>MAX(A$1:A424)+1</f>
        <v>51</v>
      </c>
      <c r="B425" s="35"/>
      <c r="C425" s="36" t="s">
        <v>314</v>
      </c>
      <c r="D425" s="37"/>
      <c r="E425" s="38" t="s">
        <v>315</v>
      </c>
      <c r="F425" s="39"/>
      <c r="G425" s="40" t="s">
        <v>18</v>
      </c>
      <c r="H425" s="52">
        <v>12</v>
      </c>
    </row>
    <row r="426" spans="1:21" ht="38.25">
      <c r="A426" s="105"/>
      <c r="B426" s="35"/>
      <c r="C426" s="66"/>
      <c r="D426" s="67" t="s">
        <v>316</v>
      </c>
      <c r="E426" s="71" t="s">
        <v>317</v>
      </c>
      <c r="F426" s="61"/>
      <c r="G426" s="62" t="s">
        <v>18</v>
      </c>
      <c r="H426" s="99">
        <v>12</v>
      </c>
    </row>
    <row r="427" spans="1:21" ht="26.25">
      <c r="A427" s="105"/>
      <c r="B427" s="35"/>
      <c r="C427" s="35"/>
      <c r="D427" s="94"/>
      <c r="E427" s="68" t="s">
        <v>1091</v>
      </c>
      <c r="F427" s="46">
        <f>0.05*240</f>
        <v>12</v>
      </c>
      <c r="G427" s="62"/>
      <c r="H427" s="74"/>
    </row>
    <row r="428" spans="1:21">
      <c r="A428" s="105"/>
      <c r="B428" s="35"/>
      <c r="C428" s="35"/>
      <c r="D428" s="94"/>
      <c r="E428" s="65"/>
      <c r="F428" s="46"/>
      <c r="G428" s="62"/>
      <c r="H428" s="74"/>
    </row>
    <row r="429" spans="1:21" ht="15.75" thickBot="1">
      <c r="A429" s="106"/>
      <c r="B429" s="107"/>
      <c r="C429" s="107"/>
      <c r="D429" s="107"/>
      <c r="E429" s="108"/>
      <c r="F429" s="109"/>
      <c r="G429" s="107"/>
      <c r="H429" s="110"/>
    </row>
    <row r="430" spans="1:21" ht="15.75">
      <c r="E430" s="6"/>
      <c r="F430" s="112"/>
      <c r="H430" s="8"/>
      <c r="Q430" s="223"/>
      <c r="U430" s="703"/>
    </row>
  </sheetData>
  <sheetProtection algorithmName="SHA-512" hashValue="DENuv5LlOqxnsvFVmBVkf3hOt4YjKEa1M45NuB2Y1xCYF701uN2LTPkGhvzg4/lg/YesL3ChypoNE7zZ2Fao9w==" saltValue="ClqQq20yvHFj5ftHfjDNbA==" spinCount="100000" sheet="1" objects="1" scenarios="1"/>
  <mergeCells count="7">
    <mergeCell ref="E1:H1"/>
    <mergeCell ref="J52:M52"/>
    <mergeCell ref="J53:M53"/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75CB-49FA-40E8-815F-8BC761A57948}">
  <sheetPr codeName="Hárok38"/>
  <dimension ref="A1:I82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8">
      <c r="A1" s="406" t="s">
        <v>1</v>
      </c>
      <c r="B1" s="406"/>
      <c r="C1" s="407"/>
      <c r="D1" s="408"/>
      <c r="E1" s="409" t="s">
        <v>2792</v>
      </c>
      <c r="F1" s="498"/>
      <c r="G1" s="499"/>
      <c r="H1" s="500"/>
    </row>
    <row r="2" spans="1:8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8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38"/>
      <c r="B6" s="24" t="s">
        <v>11</v>
      </c>
      <c r="C6" s="25"/>
      <c r="D6" s="26"/>
      <c r="E6" s="27" t="s">
        <v>12</v>
      </c>
      <c r="F6" s="27"/>
      <c r="G6" s="114"/>
      <c r="H6" s="721"/>
    </row>
    <row r="7" spans="1:8">
      <c r="A7" s="438"/>
      <c r="B7" s="441"/>
      <c r="C7" s="588"/>
      <c r="D7" s="434"/>
      <c r="E7" s="551"/>
      <c r="F7" s="598"/>
      <c r="G7" s="513"/>
      <c r="H7" s="721"/>
    </row>
    <row r="8" spans="1:8" ht="25.5">
      <c r="A8" s="283">
        <f>MAX(A$1:A7)+1</f>
        <v>1</v>
      </c>
      <c r="B8" s="441"/>
      <c r="C8" s="36" t="s">
        <v>13</v>
      </c>
      <c r="D8" s="37"/>
      <c r="E8" s="38" t="s">
        <v>14</v>
      </c>
      <c r="F8" s="39"/>
      <c r="G8" s="40" t="s">
        <v>15</v>
      </c>
      <c r="H8" s="1250">
        <v>3.02</v>
      </c>
    </row>
    <row r="9" spans="1:8">
      <c r="A9" s="283"/>
      <c r="B9" s="441"/>
      <c r="C9" s="36"/>
      <c r="D9" s="37"/>
      <c r="E9" s="38"/>
      <c r="F9" s="90">
        <f>F28</f>
        <v>3.024</v>
      </c>
      <c r="G9" s="40"/>
      <c r="H9" s="1251"/>
    </row>
    <row r="10" spans="1:8">
      <c r="A10" s="438"/>
      <c r="B10" s="441"/>
      <c r="C10" s="36"/>
      <c r="D10" s="37"/>
      <c r="E10" s="38"/>
      <c r="F10" s="39"/>
      <c r="G10" s="40"/>
      <c r="H10" s="1251"/>
    </row>
    <row r="11" spans="1:8" ht="15.75">
      <c r="A11" s="438"/>
      <c r="B11" s="24" t="s">
        <v>19</v>
      </c>
      <c r="C11" s="48"/>
      <c r="D11" s="49"/>
      <c r="E11" s="50" t="s">
        <v>20</v>
      </c>
      <c r="F11" s="1248"/>
      <c r="G11" s="1252"/>
      <c r="H11" s="1251"/>
    </row>
    <row r="12" spans="1:8">
      <c r="A12" s="438"/>
      <c r="B12" s="441"/>
      <c r="C12" s="36"/>
      <c r="D12" s="37"/>
      <c r="E12" s="38"/>
      <c r="F12" s="39"/>
      <c r="G12" s="40"/>
      <c r="H12" s="1251"/>
    </row>
    <row r="13" spans="1:8">
      <c r="A13" s="283">
        <f>MAX(A$1:A12)+1</f>
        <v>2</v>
      </c>
      <c r="B13" s="441"/>
      <c r="C13" s="36" t="s">
        <v>67</v>
      </c>
      <c r="D13" s="37"/>
      <c r="E13" s="38" t="s">
        <v>68</v>
      </c>
      <c r="F13" s="39"/>
      <c r="G13" s="40" t="s">
        <v>18</v>
      </c>
      <c r="H13" s="1250">
        <v>0.54</v>
      </c>
    </row>
    <row r="14" spans="1:8">
      <c r="A14" s="438"/>
      <c r="B14" s="441"/>
      <c r="C14" s="36"/>
      <c r="D14" s="37"/>
      <c r="E14" s="65" t="s">
        <v>2793</v>
      </c>
      <c r="F14" s="68">
        <f>0.6*0.6*1.5</f>
        <v>0.54</v>
      </c>
      <c r="G14" s="40"/>
      <c r="H14" s="1251"/>
    </row>
    <row r="15" spans="1:8">
      <c r="A15" s="438"/>
      <c r="B15" s="441"/>
      <c r="C15" s="36"/>
      <c r="D15" s="37"/>
      <c r="E15" s="65"/>
      <c r="F15" s="68"/>
      <c r="G15" s="40"/>
      <c r="H15" s="1251"/>
    </row>
    <row r="16" spans="1:8" ht="25.5">
      <c r="A16" s="283">
        <f>MAX(A$1:A15)+1</f>
        <v>3</v>
      </c>
      <c r="B16" s="423"/>
      <c r="C16" s="36" t="s">
        <v>115</v>
      </c>
      <c r="D16" s="37"/>
      <c r="E16" s="38" t="s">
        <v>116</v>
      </c>
      <c r="F16" s="39"/>
      <c r="G16" s="40" t="s">
        <v>33</v>
      </c>
      <c r="H16" s="533">
        <v>2</v>
      </c>
    </row>
    <row r="17" spans="1:9" ht="25.5">
      <c r="A17" s="283"/>
      <c r="B17" s="423"/>
      <c r="C17" s="36"/>
      <c r="D17" s="67" t="s">
        <v>2794</v>
      </c>
      <c r="E17" s="71" t="s">
        <v>2795</v>
      </c>
      <c r="F17" s="61"/>
      <c r="G17" s="62" t="s">
        <v>33</v>
      </c>
      <c r="H17" s="534">
        <v>1</v>
      </c>
    </row>
    <row r="18" spans="1:9">
      <c r="A18" s="283"/>
      <c r="B18" s="423"/>
      <c r="C18" s="36"/>
      <c r="D18" s="67"/>
      <c r="E18" s="71" t="s">
        <v>2796</v>
      </c>
      <c r="F18" s="224">
        <v>1</v>
      </c>
      <c r="G18" s="62"/>
      <c r="H18" s="533"/>
    </row>
    <row r="19" spans="1:9" ht="25.5">
      <c r="A19" s="265"/>
      <c r="B19" s="423"/>
      <c r="C19" s="422"/>
      <c r="D19" s="67" t="s">
        <v>2797</v>
      </c>
      <c r="E19" s="71" t="s">
        <v>2798</v>
      </c>
      <c r="F19" s="322"/>
      <c r="G19" s="295" t="s">
        <v>33</v>
      </c>
      <c r="H19" s="534">
        <v>1</v>
      </c>
    </row>
    <row r="20" spans="1:9">
      <c r="A20" s="265"/>
      <c r="B20" s="423"/>
      <c r="C20" s="422"/>
      <c r="D20" s="67"/>
      <c r="E20" s="65" t="s">
        <v>2799</v>
      </c>
      <c r="F20" s="224">
        <v>1</v>
      </c>
      <c r="G20" s="295"/>
      <c r="H20" s="531"/>
    </row>
    <row r="21" spans="1:9">
      <c r="A21" s="265"/>
      <c r="B21" s="1253"/>
      <c r="C21" s="422"/>
      <c r="D21" s="67"/>
      <c r="E21" s="65"/>
      <c r="F21" s="224"/>
      <c r="G21" s="295"/>
      <c r="H21" s="531"/>
    </row>
    <row r="22" spans="1:9">
      <c r="A22" s="283">
        <f>MAX(A$1:A21)+1</f>
        <v>4</v>
      </c>
      <c r="B22" s="423"/>
      <c r="C22" s="36" t="s">
        <v>37</v>
      </c>
      <c r="D22" s="37"/>
      <c r="E22" s="38" t="s">
        <v>38</v>
      </c>
      <c r="F22" s="137"/>
      <c r="G22" s="286" t="s">
        <v>15</v>
      </c>
      <c r="H22" s="532">
        <v>3.02</v>
      </c>
    </row>
    <row r="23" spans="1:9">
      <c r="A23" s="283"/>
      <c r="B23" s="425"/>
      <c r="C23" s="426"/>
      <c r="D23" s="67" t="s">
        <v>39</v>
      </c>
      <c r="E23" s="71" t="s">
        <v>40</v>
      </c>
      <c r="F23" s="322"/>
      <c r="G23" s="295" t="s">
        <v>15</v>
      </c>
      <c r="H23" s="535">
        <v>3.02</v>
      </c>
    </row>
    <row r="24" spans="1:9">
      <c r="A24" s="23"/>
      <c r="B24" s="238"/>
      <c r="C24" s="66"/>
      <c r="D24" s="242"/>
      <c r="E24" s="84" t="s">
        <v>457</v>
      </c>
      <c r="F24" s="46"/>
      <c r="G24" s="62"/>
      <c r="H24" s="536"/>
    </row>
    <row r="25" spans="1:9">
      <c r="A25" s="23"/>
      <c r="B25" s="238"/>
      <c r="C25" s="66"/>
      <c r="D25" s="242"/>
      <c r="E25" s="309" t="s">
        <v>2796</v>
      </c>
      <c r="F25" s="311">
        <v>0.30000000000000004</v>
      </c>
      <c r="G25" s="62"/>
      <c r="H25" s="536"/>
    </row>
    <row r="26" spans="1:9">
      <c r="A26" s="23"/>
      <c r="B26" s="238"/>
      <c r="C26" s="66"/>
      <c r="D26" s="242"/>
      <c r="E26" s="309" t="s">
        <v>2799</v>
      </c>
      <c r="F26" s="311">
        <f>0.64*2.4</f>
        <v>1.536</v>
      </c>
      <c r="G26" s="62"/>
      <c r="H26" s="536"/>
    </row>
    <row r="27" spans="1:9">
      <c r="A27" s="23"/>
      <c r="B27" s="238"/>
      <c r="C27" s="66"/>
      <c r="D27" s="242"/>
      <c r="E27" s="309" t="s">
        <v>2793</v>
      </c>
      <c r="F27" s="313">
        <f>F14*2.2</f>
        <v>1.1880000000000002</v>
      </c>
      <c r="G27" s="62"/>
      <c r="H27" s="536"/>
    </row>
    <row r="28" spans="1:9">
      <c r="A28" s="23"/>
      <c r="B28" s="238"/>
      <c r="C28" s="66"/>
      <c r="D28" s="242"/>
      <c r="E28" s="309"/>
      <c r="F28" s="308">
        <f>SUM(F25:F27)</f>
        <v>3.024</v>
      </c>
      <c r="G28" s="62"/>
      <c r="H28" s="536"/>
    </row>
    <row r="29" spans="1:9">
      <c r="A29" s="23"/>
      <c r="B29" s="238"/>
      <c r="C29" s="66"/>
      <c r="D29" s="242"/>
      <c r="E29" s="309"/>
      <c r="F29" s="308"/>
      <c r="G29" s="62"/>
      <c r="H29" s="536"/>
    </row>
    <row r="30" spans="1:9">
      <c r="A30" s="265"/>
      <c r="B30" s="237" t="s">
        <v>72</v>
      </c>
      <c r="C30" s="422"/>
      <c r="D30" s="422"/>
      <c r="E30" s="27" t="s">
        <v>73</v>
      </c>
      <c r="F30" s="311"/>
      <c r="G30" s="508"/>
      <c r="H30" s="531"/>
    </row>
    <row r="31" spans="1:9">
      <c r="A31" s="283"/>
      <c r="B31" s="126"/>
      <c r="C31" s="426"/>
      <c r="D31" s="126"/>
      <c r="E31" s="27"/>
      <c r="F31" s="538"/>
      <c r="G31" s="286"/>
      <c r="H31" s="539"/>
    </row>
    <row r="32" spans="1:9">
      <c r="A32" s="34">
        <f>MAX(A$1:A31)+1</f>
        <v>5</v>
      </c>
      <c r="B32" s="327"/>
      <c r="C32" s="36" t="s">
        <v>74</v>
      </c>
      <c r="D32" s="37"/>
      <c r="E32" s="38" t="s">
        <v>75</v>
      </c>
      <c r="F32" s="39"/>
      <c r="G32" s="40" t="s">
        <v>18</v>
      </c>
      <c r="H32" s="540">
        <v>5.7</v>
      </c>
      <c r="I32" s="942"/>
    </row>
    <row r="33" spans="1:9">
      <c r="A33" s="350"/>
      <c r="B33" s="329"/>
      <c r="C33" s="66"/>
      <c r="D33" s="67" t="s">
        <v>76</v>
      </c>
      <c r="E33" s="71" t="s">
        <v>77</v>
      </c>
      <c r="F33" s="61"/>
      <c r="G33" s="62" t="s">
        <v>18</v>
      </c>
      <c r="H33" s="541">
        <v>5.7</v>
      </c>
      <c r="I33" s="942"/>
    </row>
    <row r="34" spans="1:9">
      <c r="A34" s="350"/>
      <c r="B34" s="329"/>
      <c r="C34" s="66"/>
      <c r="D34" s="67"/>
      <c r="E34" s="71"/>
      <c r="F34" s="212"/>
      <c r="G34" s="295"/>
      <c r="H34" s="541"/>
      <c r="I34" s="942"/>
    </row>
    <row r="35" spans="1:9">
      <c r="A35" s="34">
        <f>MAX(A$1:A34)+1</f>
        <v>6</v>
      </c>
      <c r="B35" s="327"/>
      <c r="C35" s="36" t="s">
        <v>158</v>
      </c>
      <c r="D35" s="37"/>
      <c r="E35" s="38" t="s">
        <v>159</v>
      </c>
      <c r="F35" s="264"/>
      <c r="G35" s="286" t="s">
        <v>18</v>
      </c>
      <c r="H35" s="540">
        <v>11.99</v>
      </c>
      <c r="I35" s="942"/>
    </row>
    <row r="36" spans="1:9">
      <c r="A36" s="320"/>
      <c r="B36" s="80"/>
      <c r="C36" s="66"/>
      <c r="D36" s="67" t="s">
        <v>160</v>
      </c>
      <c r="E36" s="71" t="s">
        <v>161</v>
      </c>
      <c r="F36" s="212"/>
      <c r="G36" s="295" t="s">
        <v>18</v>
      </c>
      <c r="H36" s="566">
        <v>11.99</v>
      </c>
      <c r="I36" s="942"/>
    </row>
    <row r="37" spans="1:9">
      <c r="A37" s="320"/>
      <c r="B37" s="80"/>
      <c r="C37" s="66"/>
      <c r="D37" s="67"/>
      <c r="E37" s="330" t="s">
        <v>2800</v>
      </c>
      <c r="F37" s="212">
        <f>25*0.3*0.45</f>
        <v>3.375</v>
      </c>
      <c r="G37" s="295"/>
      <c r="H37" s="542"/>
      <c r="I37" s="942"/>
    </row>
    <row r="38" spans="1:9">
      <c r="A38" s="320"/>
      <c r="B38" s="80"/>
      <c r="C38" s="66"/>
      <c r="D38" s="67"/>
      <c r="E38" s="330" t="s">
        <v>2801</v>
      </c>
      <c r="F38" s="213">
        <f>99*0.3*0.29</f>
        <v>8.6129999999999995</v>
      </c>
      <c r="G38" s="295"/>
      <c r="H38" s="542"/>
      <c r="I38" s="942"/>
    </row>
    <row r="39" spans="1:9">
      <c r="A39" s="320"/>
      <c r="B39" s="80"/>
      <c r="C39" s="66"/>
      <c r="D39" s="67"/>
      <c r="E39" s="330"/>
      <c r="F39" s="224">
        <f>SUM(F37:F38)</f>
        <v>11.988</v>
      </c>
      <c r="G39" s="295"/>
      <c r="H39" s="542"/>
      <c r="I39" s="942"/>
    </row>
    <row r="40" spans="1:9" ht="25.5">
      <c r="A40" s="320"/>
      <c r="B40" s="80"/>
      <c r="C40" s="66"/>
      <c r="D40" s="67"/>
      <c r="E40" s="330" t="s">
        <v>2802</v>
      </c>
      <c r="F40" s="224"/>
      <c r="G40" s="295"/>
      <c r="H40" s="542"/>
      <c r="I40" s="942"/>
    </row>
    <row r="41" spans="1:9">
      <c r="A41" s="320"/>
      <c r="B41" s="80"/>
      <c r="C41" s="66"/>
      <c r="D41" s="67"/>
      <c r="E41" s="330"/>
      <c r="F41" s="212"/>
      <c r="G41" s="295"/>
      <c r="H41" s="542"/>
      <c r="I41" s="942"/>
    </row>
    <row r="42" spans="1:9">
      <c r="A42" s="34">
        <f>MAX(A$1:A41)+1</f>
        <v>7</v>
      </c>
      <c r="B42" s="335"/>
      <c r="C42" s="435" t="s">
        <v>78</v>
      </c>
      <c r="D42" s="436"/>
      <c r="E42" s="437" t="s">
        <v>79</v>
      </c>
      <c r="F42" s="547"/>
      <c r="G42" s="511" t="s">
        <v>18</v>
      </c>
      <c r="H42" s="544">
        <v>17.690000000000001</v>
      </c>
      <c r="I42" s="942"/>
    </row>
    <row r="43" spans="1:9">
      <c r="A43" s="334"/>
      <c r="B43" s="429"/>
      <c r="C43" s="430"/>
      <c r="D43" s="431" t="s">
        <v>80</v>
      </c>
      <c r="E43" s="305" t="s">
        <v>81</v>
      </c>
      <c r="F43" s="548"/>
      <c r="G43" s="512" t="s">
        <v>18</v>
      </c>
      <c r="H43" s="545">
        <v>17.690000000000001</v>
      </c>
      <c r="I43" s="942"/>
    </row>
    <row r="44" spans="1:9">
      <c r="A44" s="438"/>
      <c r="B44" s="429"/>
      <c r="C44" s="430"/>
      <c r="D44" s="431"/>
      <c r="E44" s="549" t="s">
        <v>181</v>
      </c>
      <c r="F44" s="547">
        <f>SUM(H33+F39)</f>
        <v>17.687999999999999</v>
      </c>
      <c r="G44" s="512"/>
      <c r="H44" s="535"/>
      <c r="I44" s="942"/>
    </row>
    <row r="45" spans="1:9">
      <c r="A45" s="438"/>
      <c r="B45" s="429"/>
      <c r="C45" s="430"/>
      <c r="D45" s="431"/>
      <c r="E45" s="549" t="s">
        <v>2803</v>
      </c>
      <c r="F45" s="547"/>
      <c r="G45" s="512"/>
      <c r="H45" s="535"/>
      <c r="I45" s="942"/>
    </row>
    <row r="46" spans="1:9">
      <c r="A46" s="293"/>
      <c r="B46" s="441"/>
      <c r="C46" s="442"/>
      <c r="D46" s="434"/>
      <c r="E46" s="549"/>
      <c r="F46" s="552"/>
      <c r="G46" s="513"/>
      <c r="H46" s="553"/>
    </row>
    <row r="47" spans="1:9">
      <c r="A47" s="34">
        <f>MAX(A$1:A46)+1</f>
        <v>8</v>
      </c>
      <c r="B47" s="441"/>
      <c r="C47" s="36" t="s">
        <v>484</v>
      </c>
      <c r="D47" s="37"/>
      <c r="E47" s="38" t="s">
        <v>485</v>
      </c>
      <c r="F47" s="39"/>
      <c r="G47" s="40" t="s">
        <v>36</v>
      </c>
      <c r="H47" s="844">
        <v>16</v>
      </c>
    </row>
    <row r="48" spans="1:9" ht="25.5">
      <c r="A48" s="293"/>
      <c r="B48" s="441"/>
      <c r="C48" s="442"/>
      <c r="D48" s="67" t="s">
        <v>665</v>
      </c>
      <c r="E48" s="71" t="s">
        <v>487</v>
      </c>
      <c r="F48" s="61"/>
      <c r="G48" s="62" t="s">
        <v>36</v>
      </c>
      <c r="H48" s="553">
        <v>16</v>
      </c>
    </row>
    <row r="49" spans="1:8">
      <c r="A49" s="293"/>
      <c r="B49" s="441"/>
      <c r="C49" s="442"/>
      <c r="D49" s="434"/>
      <c r="E49" s="549" t="s">
        <v>2804</v>
      </c>
      <c r="F49" s="552">
        <v>16</v>
      </c>
      <c r="G49" s="513"/>
      <c r="H49" s="553"/>
    </row>
    <row r="50" spans="1:8">
      <c r="A50" s="293"/>
      <c r="B50" s="429"/>
      <c r="C50" s="430"/>
      <c r="D50" s="431"/>
      <c r="E50" s="546"/>
      <c r="F50" s="547"/>
      <c r="G50" s="512"/>
      <c r="H50" s="553"/>
    </row>
    <row r="51" spans="1:8">
      <c r="A51" s="34"/>
      <c r="B51" s="329"/>
      <c r="C51" s="36"/>
      <c r="D51" s="37"/>
      <c r="E51" s="38"/>
      <c r="F51" s="39"/>
      <c r="G51" s="40"/>
      <c r="H51" s="587"/>
    </row>
    <row r="52" spans="1:8">
      <c r="A52" s="72"/>
      <c r="B52" s="35" t="s">
        <v>2694</v>
      </c>
      <c r="C52" s="35"/>
      <c r="D52" s="94"/>
      <c r="E52" s="50" t="s">
        <v>2695</v>
      </c>
      <c r="F52" s="61"/>
      <c r="G52" s="62"/>
      <c r="H52" s="557"/>
    </row>
    <row r="53" spans="1:8">
      <c r="A53" s="72"/>
      <c r="B53" s="35"/>
      <c r="C53" s="35"/>
      <c r="D53" s="94"/>
      <c r="E53" s="50"/>
      <c r="F53" s="61"/>
      <c r="G53" s="62"/>
      <c r="H53" s="557"/>
    </row>
    <row r="54" spans="1:8" ht="26.25">
      <c r="A54" s="34">
        <f>MAX(A$1:A53)+1</f>
        <v>9</v>
      </c>
      <c r="B54" s="35"/>
      <c r="C54" s="195">
        <v>92020101</v>
      </c>
      <c r="D54" s="196"/>
      <c r="E54" s="39" t="s">
        <v>2805</v>
      </c>
      <c r="F54" s="39"/>
      <c r="G54" s="40" t="s">
        <v>36</v>
      </c>
      <c r="H54" s="587">
        <v>537</v>
      </c>
    </row>
    <row r="55" spans="1:8" ht="26.25">
      <c r="A55" s="34"/>
      <c r="B55" s="35"/>
      <c r="C55" s="195"/>
      <c r="D55" s="199">
        <v>9202010101</v>
      </c>
      <c r="E55" s="61" t="s">
        <v>2806</v>
      </c>
      <c r="F55" s="61"/>
      <c r="G55" s="62" t="s">
        <v>36</v>
      </c>
      <c r="H55" s="557">
        <v>124</v>
      </c>
    </row>
    <row r="56" spans="1:8">
      <c r="A56" s="34"/>
      <c r="B56" s="35"/>
      <c r="C56" s="195"/>
      <c r="D56" s="199"/>
      <c r="E56" s="65" t="s">
        <v>2807</v>
      </c>
      <c r="F56" s="46">
        <f>120-F60</f>
        <v>86</v>
      </c>
      <c r="G56" s="62"/>
      <c r="H56" s="587"/>
    </row>
    <row r="57" spans="1:8">
      <c r="A57" s="34"/>
      <c r="B57" s="35"/>
      <c r="C57" s="195"/>
      <c r="D57" s="199"/>
      <c r="E57" s="65" t="s">
        <v>2808</v>
      </c>
      <c r="F57" s="69">
        <f>47-F61</f>
        <v>38</v>
      </c>
      <c r="G57" s="62"/>
      <c r="H57" s="587"/>
    </row>
    <row r="58" spans="1:8">
      <c r="A58" s="34"/>
      <c r="B58" s="35"/>
      <c r="C58" s="195"/>
      <c r="D58" s="199"/>
      <c r="E58" s="65"/>
      <c r="F58" s="46">
        <f>F56+F57</f>
        <v>124</v>
      </c>
      <c r="G58" s="62"/>
      <c r="H58" s="587"/>
    </row>
    <row r="59" spans="1:8" ht="25.5">
      <c r="A59" s="72"/>
      <c r="B59" s="35"/>
      <c r="C59" s="35"/>
      <c r="D59" s="199">
        <v>9202010105</v>
      </c>
      <c r="E59" s="71" t="s">
        <v>2809</v>
      </c>
      <c r="F59" s="71"/>
      <c r="G59" s="62" t="s">
        <v>36</v>
      </c>
      <c r="H59" s="557">
        <v>43</v>
      </c>
    </row>
    <row r="60" spans="1:8">
      <c r="A60" s="72"/>
      <c r="B60" s="35"/>
      <c r="C60" s="35"/>
      <c r="D60" s="94"/>
      <c r="E60" s="65" t="s">
        <v>2807</v>
      </c>
      <c r="F60" s="46">
        <f>F49+18</f>
        <v>34</v>
      </c>
      <c r="G60" s="62"/>
      <c r="H60" s="557"/>
    </row>
    <row r="61" spans="1:8">
      <c r="A61" s="72"/>
      <c r="B61" s="35"/>
      <c r="C61" s="35"/>
      <c r="D61" s="94"/>
      <c r="E61" s="65" t="s">
        <v>2808</v>
      </c>
      <c r="F61" s="69">
        <v>9</v>
      </c>
      <c r="G61" s="1254"/>
      <c r="H61" s="557"/>
    </row>
    <row r="62" spans="1:8">
      <c r="A62" s="72"/>
      <c r="B62" s="35"/>
      <c r="C62" s="35"/>
      <c r="D62" s="94"/>
      <c r="E62" s="65"/>
      <c r="F62" s="46">
        <f>F60+F61</f>
        <v>43</v>
      </c>
      <c r="G62" s="62"/>
      <c r="H62" s="557"/>
    </row>
    <row r="63" spans="1:8" ht="25.5">
      <c r="A63" s="72"/>
      <c r="B63" s="35"/>
      <c r="C63" s="35"/>
      <c r="D63" s="199">
        <v>9202010111</v>
      </c>
      <c r="E63" s="71" t="s">
        <v>2810</v>
      </c>
      <c r="F63" s="71"/>
      <c r="G63" s="62" t="s">
        <v>36</v>
      </c>
      <c r="H63" s="557">
        <v>370</v>
      </c>
    </row>
    <row r="64" spans="1:8">
      <c r="A64" s="72"/>
      <c r="B64" s="35"/>
      <c r="C64" s="35"/>
      <c r="D64" s="94"/>
      <c r="E64" s="65" t="s">
        <v>2811</v>
      </c>
      <c r="F64" s="46">
        <v>295</v>
      </c>
      <c r="G64" s="62"/>
      <c r="H64" s="557"/>
    </row>
    <row r="65" spans="1:8" ht="25.5">
      <c r="A65" s="72"/>
      <c r="B65" s="35"/>
      <c r="C65" s="35"/>
      <c r="D65" s="94"/>
      <c r="E65" s="65" t="s">
        <v>2812</v>
      </c>
      <c r="F65" s="69">
        <v>75</v>
      </c>
      <c r="G65" s="62"/>
      <c r="H65" s="557"/>
    </row>
    <row r="66" spans="1:8">
      <c r="A66" s="72"/>
      <c r="B66" s="35"/>
      <c r="C66" s="35"/>
      <c r="D66" s="94"/>
      <c r="E66" s="65"/>
      <c r="F66" s="46">
        <f>F64+F65</f>
        <v>370</v>
      </c>
      <c r="G66" s="62"/>
      <c r="H66" s="557"/>
    </row>
    <row r="67" spans="1:8">
      <c r="A67" s="72"/>
      <c r="B67" s="329"/>
      <c r="C67" s="66"/>
      <c r="D67" s="66"/>
      <c r="E67" s="71"/>
      <c r="F67" s="61"/>
      <c r="G67" s="62"/>
      <c r="H67" s="557"/>
    </row>
    <row r="68" spans="1:8" ht="25.5">
      <c r="A68" s="34">
        <f>MAX(A$1:A67)+1</f>
        <v>10</v>
      </c>
      <c r="B68" s="329"/>
      <c r="C68" s="195">
        <v>92020401</v>
      </c>
      <c r="D68" s="196"/>
      <c r="E68" s="38" t="s">
        <v>2702</v>
      </c>
      <c r="F68" s="38"/>
      <c r="G68" s="40" t="s">
        <v>36</v>
      </c>
      <c r="H68" s="587">
        <v>142</v>
      </c>
    </row>
    <row r="69" spans="1:8" ht="25.5">
      <c r="A69" s="290"/>
      <c r="B69" s="35"/>
      <c r="C69" s="198"/>
      <c r="D69" s="199">
        <v>9202040101</v>
      </c>
      <c r="E69" s="71" t="s">
        <v>2703</v>
      </c>
      <c r="F69" s="71"/>
      <c r="G69" s="62" t="s">
        <v>36</v>
      </c>
      <c r="H69" s="1242">
        <v>142</v>
      </c>
    </row>
    <row r="70" spans="1:8">
      <c r="A70" s="290"/>
      <c r="B70" s="328"/>
      <c r="C70" s="331"/>
      <c r="D70" s="332"/>
      <c r="E70" s="77" t="s">
        <v>2813</v>
      </c>
      <c r="F70" s="454">
        <v>27</v>
      </c>
      <c r="G70" s="333"/>
      <c r="H70" s="558"/>
    </row>
    <row r="71" spans="1:8">
      <c r="A71" s="290"/>
      <c r="B71" s="328"/>
      <c r="C71" s="331"/>
      <c r="D71" s="332"/>
      <c r="E71" s="77" t="s">
        <v>2814</v>
      </c>
      <c r="F71" s="1255">
        <v>115</v>
      </c>
      <c r="G71" s="333"/>
      <c r="H71" s="558"/>
    </row>
    <row r="72" spans="1:8">
      <c r="A72" s="290"/>
      <c r="B72" s="328"/>
      <c r="C72" s="331"/>
      <c r="D72" s="332"/>
      <c r="E72" s="77"/>
      <c r="F72" s="454">
        <f>SUM(F70:F71)</f>
        <v>142</v>
      </c>
      <c r="G72" s="333"/>
      <c r="H72" s="558"/>
    </row>
    <row r="73" spans="1:8">
      <c r="A73" s="34"/>
      <c r="B73" s="328"/>
      <c r="C73" s="36"/>
      <c r="D73" s="66"/>
      <c r="E73" s="77"/>
      <c r="F73" s="39"/>
      <c r="G73" s="40"/>
      <c r="H73" s="559"/>
    </row>
    <row r="74" spans="1:8" ht="25.5">
      <c r="A74" s="34">
        <f>MAX(A$1:A73)+1</f>
        <v>11</v>
      </c>
      <c r="B74" s="328"/>
      <c r="C74" s="195">
        <v>92022501</v>
      </c>
      <c r="D74" s="196"/>
      <c r="E74" s="38" t="s">
        <v>478</v>
      </c>
      <c r="F74" s="192"/>
      <c r="G74" s="40" t="s">
        <v>33</v>
      </c>
      <c r="H74" s="1243">
        <v>2</v>
      </c>
    </row>
    <row r="75" spans="1:8" ht="25.5">
      <c r="A75" s="34"/>
      <c r="B75" s="328"/>
      <c r="C75" s="195"/>
      <c r="D75" s="199">
        <v>9202250104</v>
      </c>
      <c r="E75" s="71" t="s">
        <v>722</v>
      </c>
      <c r="F75" s="71"/>
      <c r="G75" s="62" t="s">
        <v>33</v>
      </c>
      <c r="H75" s="560">
        <v>1</v>
      </c>
    </row>
    <row r="76" spans="1:8">
      <c r="A76" s="34"/>
      <c r="B76" s="328"/>
      <c r="C76" s="195"/>
      <c r="D76" s="196"/>
      <c r="E76" s="65" t="s">
        <v>2815</v>
      </c>
      <c r="F76" s="192"/>
      <c r="G76" s="40"/>
      <c r="H76" s="1243"/>
    </row>
    <row r="77" spans="1:8">
      <c r="A77" s="34"/>
      <c r="B77" s="328"/>
      <c r="C77" s="195"/>
      <c r="D77" s="196"/>
      <c r="E77" s="38"/>
      <c r="F77" s="192"/>
      <c r="G77" s="40"/>
      <c r="H77" s="1243"/>
    </row>
    <row r="78" spans="1:8" ht="25.5">
      <c r="A78" s="290"/>
      <c r="B78" s="328"/>
      <c r="C78" s="37"/>
      <c r="D78" s="199">
        <v>9202250102</v>
      </c>
      <c r="E78" s="71" t="s">
        <v>479</v>
      </c>
      <c r="F78" s="278"/>
      <c r="G78" s="62" t="s">
        <v>33</v>
      </c>
      <c r="H78" s="560">
        <v>1</v>
      </c>
    </row>
    <row r="79" spans="1:8">
      <c r="A79" s="290"/>
      <c r="B79" s="328"/>
      <c r="C79" s="37"/>
      <c r="D79" s="191"/>
      <c r="E79" s="103" t="s">
        <v>2816</v>
      </c>
      <c r="F79" s="278">
        <v>1</v>
      </c>
      <c r="G79" s="32"/>
      <c r="H79" s="561"/>
    </row>
    <row r="80" spans="1:8" ht="15.75" thickBot="1">
      <c r="A80" s="459"/>
      <c r="B80" s="460"/>
      <c r="C80" s="391"/>
      <c r="D80" s="461"/>
      <c r="E80" s="462"/>
      <c r="F80" s="524"/>
      <c r="G80" s="525"/>
      <c r="H80" s="574"/>
    </row>
    <row r="81" spans="1:8">
      <c r="A81" s="526"/>
      <c r="B81" s="527"/>
      <c r="C81" s="344"/>
      <c r="D81" s="519"/>
      <c r="E81" s="129"/>
      <c r="F81" s="131"/>
      <c r="G81" s="326"/>
      <c r="H81" s="528"/>
    </row>
    <row r="82" spans="1:8">
      <c r="A82" s="410"/>
      <c r="B82" s="410"/>
      <c r="C82" s="410"/>
      <c r="D82" s="410"/>
      <c r="E82" s="410"/>
      <c r="F82" s="498"/>
      <c r="G82" s="501"/>
      <c r="H82" s="500"/>
    </row>
  </sheetData>
  <sheetProtection algorithmName="SHA-512" hashValue="GklBO0gnyv1IRl34o/ModnC4k8lLkwDWCEd2HAEy21Q1zWf1C7kgFKsgljbKVtjzGjoimUqfvf12LKbq0hkTNw==" saltValue="w6oW/HqH9ZJ/Y+DzhI3ME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4464E-F257-4A0D-B0A6-DFBCD2FF4860}">
  <sheetPr codeName="Hárok39"/>
  <dimension ref="A1:I47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2818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2819</v>
      </c>
      <c r="D8" s="37"/>
      <c r="E8" s="38" t="s">
        <v>2820</v>
      </c>
      <c r="F8" s="39"/>
      <c r="G8" s="40" t="s">
        <v>33</v>
      </c>
      <c r="H8" s="941">
        <v>1</v>
      </c>
      <c r="I8" s="942"/>
    </row>
    <row r="9" spans="1:9">
      <c r="A9" s="34"/>
      <c r="B9" s="464"/>
      <c r="C9" s="36"/>
      <c r="D9" s="37"/>
      <c r="E9" s="38"/>
      <c r="F9" s="46">
        <v>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158</v>
      </c>
      <c r="D13" s="37"/>
      <c r="E13" s="38" t="s">
        <v>159</v>
      </c>
      <c r="F13" s="264"/>
      <c r="G13" s="286" t="s">
        <v>18</v>
      </c>
      <c r="H13" s="540">
        <v>4.5199999999999996</v>
      </c>
      <c r="I13" s="942"/>
    </row>
    <row r="14" spans="1:9">
      <c r="A14" s="320"/>
      <c r="B14" s="80"/>
      <c r="C14" s="66"/>
      <c r="D14" s="67" t="s">
        <v>160</v>
      </c>
      <c r="E14" s="71" t="s">
        <v>161</v>
      </c>
      <c r="F14" s="212"/>
      <c r="G14" s="295" t="s">
        <v>18</v>
      </c>
      <c r="H14" s="566">
        <v>4.5199999999999996</v>
      </c>
      <c r="I14" s="942"/>
    </row>
    <row r="15" spans="1:9">
      <c r="A15" s="320"/>
      <c r="B15" s="80"/>
      <c r="C15" s="66"/>
      <c r="D15" s="67"/>
      <c r="E15" s="330" t="s">
        <v>2821</v>
      </c>
      <c r="F15" s="212">
        <f>52*0.3*0.29</f>
        <v>4.524</v>
      </c>
      <c r="G15" s="295"/>
      <c r="H15" s="542"/>
      <c r="I15" s="942"/>
    </row>
    <row r="16" spans="1:9">
      <c r="A16" s="320"/>
      <c r="B16" s="80"/>
      <c r="C16" s="66"/>
      <c r="D16" s="67"/>
      <c r="E16" s="330"/>
      <c r="F16" s="212"/>
      <c r="G16" s="295"/>
      <c r="H16" s="542"/>
      <c r="I16" s="942"/>
    </row>
    <row r="17" spans="1:9">
      <c r="A17" s="34">
        <f>MAX(A$1:A16)+1</f>
        <v>3</v>
      </c>
      <c r="B17" s="335"/>
      <c r="C17" s="435" t="s">
        <v>78</v>
      </c>
      <c r="D17" s="436"/>
      <c r="E17" s="437" t="s">
        <v>79</v>
      </c>
      <c r="F17" s="547"/>
      <c r="G17" s="511" t="s">
        <v>18</v>
      </c>
      <c r="H17" s="544">
        <v>4.5199999999999996</v>
      </c>
      <c r="I17" s="942"/>
    </row>
    <row r="18" spans="1:9">
      <c r="A18" s="334"/>
      <c r="B18" s="429"/>
      <c r="C18" s="430"/>
      <c r="D18" s="431" t="s">
        <v>80</v>
      </c>
      <c r="E18" s="305" t="s">
        <v>81</v>
      </c>
      <c r="F18" s="548"/>
      <c r="G18" s="512" t="s">
        <v>18</v>
      </c>
      <c r="H18" s="545">
        <v>4.5199999999999996</v>
      </c>
      <c r="I18" s="942"/>
    </row>
    <row r="19" spans="1:9">
      <c r="A19" s="438"/>
      <c r="B19" s="429"/>
      <c r="C19" s="430"/>
      <c r="D19" s="431"/>
      <c r="E19" s="549" t="s">
        <v>181</v>
      </c>
      <c r="F19" s="547">
        <f>F15</f>
        <v>4.524</v>
      </c>
      <c r="G19" s="512"/>
      <c r="H19" s="535"/>
      <c r="I19" s="942"/>
    </row>
    <row r="20" spans="1:9">
      <c r="A20" s="438"/>
      <c r="B20" s="429"/>
      <c r="C20" s="430"/>
      <c r="D20" s="431"/>
      <c r="E20" s="549" t="s">
        <v>2822</v>
      </c>
      <c r="F20" s="547"/>
      <c r="G20" s="512"/>
      <c r="H20" s="535"/>
      <c r="I20" s="942"/>
    </row>
    <row r="21" spans="1:9">
      <c r="A21" s="34"/>
      <c r="B21" s="329"/>
      <c r="C21" s="36"/>
      <c r="D21" s="37"/>
      <c r="E21" s="38"/>
      <c r="F21" s="39"/>
      <c r="G21" s="40"/>
      <c r="H21" s="587"/>
    </row>
    <row r="22" spans="1:9">
      <c r="A22" s="72"/>
      <c r="B22" s="35" t="s">
        <v>2694</v>
      </c>
      <c r="C22" s="35"/>
      <c r="D22" s="94"/>
      <c r="E22" s="50" t="s">
        <v>2695</v>
      </c>
      <c r="F22" s="61"/>
      <c r="G22" s="62"/>
      <c r="H22" s="557"/>
    </row>
    <row r="23" spans="1:9">
      <c r="A23" s="72"/>
      <c r="B23" s="35"/>
      <c r="C23" s="35"/>
      <c r="D23" s="94"/>
      <c r="E23" s="50"/>
      <c r="F23" s="61"/>
      <c r="G23" s="62"/>
      <c r="H23" s="557"/>
    </row>
    <row r="24" spans="1:9" ht="25.5">
      <c r="A24" s="34">
        <f>MAX(A$1:A23)+1</f>
        <v>4</v>
      </c>
      <c r="B24" s="35"/>
      <c r="C24" s="195">
        <v>92020107</v>
      </c>
      <c r="D24" s="196"/>
      <c r="E24" s="38" t="s">
        <v>2697</v>
      </c>
      <c r="F24" s="38"/>
      <c r="G24" s="40" t="s">
        <v>36</v>
      </c>
      <c r="H24" s="587">
        <v>214</v>
      </c>
    </row>
    <row r="25" spans="1:9" ht="25.5">
      <c r="A25" s="72"/>
      <c r="B25" s="35"/>
      <c r="C25" s="35"/>
      <c r="D25" s="199">
        <v>9202010711</v>
      </c>
      <c r="E25" s="71" t="s">
        <v>2823</v>
      </c>
      <c r="F25" s="71"/>
      <c r="G25" s="62" t="s">
        <v>36</v>
      </c>
      <c r="H25" s="557">
        <v>214</v>
      </c>
    </row>
    <row r="26" spans="1:9" ht="25.5">
      <c r="A26" s="72"/>
      <c r="B26" s="35"/>
      <c r="C26" s="35"/>
      <c r="D26" s="94"/>
      <c r="E26" s="65" t="s">
        <v>2824</v>
      </c>
      <c r="F26" s="46">
        <f>2*89</f>
        <v>178</v>
      </c>
      <c r="G26" s="62"/>
      <c r="H26" s="557"/>
    </row>
    <row r="27" spans="1:9">
      <c r="A27" s="72"/>
      <c r="B27" s="35"/>
      <c r="C27" s="35"/>
      <c r="D27" s="94"/>
      <c r="E27" s="65" t="s">
        <v>2825</v>
      </c>
      <c r="F27" s="69">
        <v>36</v>
      </c>
      <c r="G27" s="62"/>
      <c r="H27" s="557"/>
    </row>
    <row r="28" spans="1:9">
      <c r="A28" s="72"/>
      <c r="B28" s="35"/>
      <c r="C28" s="35"/>
      <c r="D28" s="94"/>
      <c r="E28" s="65"/>
      <c r="F28" s="46">
        <f>F26+F27</f>
        <v>214</v>
      </c>
      <c r="G28" s="62"/>
      <c r="H28" s="557"/>
    </row>
    <row r="29" spans="1:9">
      <c r="A29" s="72"/>
      <c r="B29" s="329"/>
      <c r="C29" s="66"/>
      <c r="D29" s="66"/>
      <c r="E29" s="71"/>
      <c r="F29" s="61"/>
      <c r="G29" s="62"/>
      <c r="H29" s="557"/>
    </row>
    <row r="30" spans="1:9" ht="25.5">
      <c r="A30" s="34">
        <f>MAX(A$1:A29)+1</f>
        <v>5</v>
      </c>
      <c r="B30" s="329"/>
      <c r="C30" s="195">
        <v>92020401</v>
      </c>
      <c r="D30" s="196"/>
      <c r="E30" s="38" t="s">
        <v>2702</v>
      </c>
      <c r="F30" s="38"/>
      <c r="G30" s="40" t="s">
        <v>36</v>
      </c>
      <c r="H30" s="587">
        <v>52</v>
      </c>
    </row>
    <row r="31" spans="1:9" ht="25.5">
      <c r="A31" s="290"/>
      <c r="B31" s="35"/>
      <c r="C31" s="198"/>
      <c r="D31" s="199">
        <v>9202040101</v>
      </c>
      <c r="E31" s="71" t="s">
        <v>2703</v>
      </c>
      <c r="F31" s="71"/>
      <c r="G31" s="62" t="s">
        <v>36</v>
      </c>
      <c r="H31" s="1242">
        <v>52</v>
      </c>
    </row>
    <row r="32" spans="1:9">
      <c r="A32" s="290"/>
      <c r="B32" s="328"/>
      <c r="C32" s="331"/>
      <c r="D32" s="332"/>
      <c r="E32" s="77" t="s">
        <v>2826</v>
      </c>
      <c r="F32" s="454">
        <v>52</v>
      </c>
      <c r="G32" s="333"/>
      <c r="H32" s="558"/>
    </row>
    <row r="33" spans="1:8">
      <c r="A33" s="290"/>
      <c r="B33" s="328"/>
      <c r="C33" s="331"/>
      <c r="D33" s="332"/>
      <c r="E33" s="77"/>
      <c r="F33" s="454"/>
      <c r="G33" s="333"/>
      <c r="H33" s="558"/>
    </row>
    <row r="34" spans="1:8" ht="25.5">
      <c r="A34" s="34">
        <f>MAX(A$1:A33)+1</f>
        <v>6</v>
      </c>
      <c r="B34" s="328"/>
      <c r="C34" s="195">
        <v>92020403</v>
      </c>
      <c r="D34" s="196"/>
      <c r="E34" s="38" t="s">
        <v>2827</v>
      </c>
      <c r="F34" s="38"/>
      <c r="G34" s="40" t="s">
        <v>36</v>
      </c>
      <c r="H34" s="587">
        <v>52</v>
      </c>
    </row>
    <row r="35" spans="1:8" ht="25.5">
      <c r="A35" s="290"/>
      <c r="B35" s="328"/>
      <c r="C35" s="331"/>
      <c r="D35" s="199">
        <v>9202040302</v>
      </c>
      <c r="E35" s="71" t="s">
        <v>2828</v>
      </c>
      <c r="F35" s="71"/>
      <c r="G35" s="62" t="s">
        <v>36</v>
      </c>
      <c r="H35" s="1242">
        <v>52</v>
      </c>
    </row>
    <row r="36" spans="1:8">
      <c r="A36" s="290"/>
      <c r="B36" s="328"/>
      <c r="C36" s="331"/>
      <c r="D36" s="332"/>
      <c r="E36" s="77" t="s">
        <v>2829</v>
      </c>
      <c r="F36" s="454">
        <v>52</v>
      </c>
      <c r="G36" s="333"/>
      <c r="H36" s="558"/>
    </row>
    <row r="37" spans="1:8">
      <c r="A37" s="290"/>
      <c r="B37" s="328"/>
      <c r="C37" s="331"/>
      <c r="D37" s="332"/>
      <c r="E37" s="77"/>
      <c r="F37" s="454"/>
      <c r="G37" s="333"/>
      <c r="H37" s="558"/>
    </row>
    <row r="38" spans="1:8" ht="25.5">
      <c r="A38" s="34">
        <f>MAX(A$1:A37)+1</f>
        <v>7</v>
      </c>
      <c r="B38" s="328"/>
      <c r="C38" s="195">
        <v>92021101</v>
      </c>
      <c r="D38" s="196"/>
      <c r="E38" s="38" t="s">
        <v>2830</v>
      </c>
      <c r="F38" s="38"/>
      <c r="G38" s="40" t="s">
        <v>33</v>
      </c>
      <c r="H38" s="558">
        <v>1</v>
      </c>
    </row>
    <row r="39" spans="1:8" ht="25.5">
      <c r="A39" s="290"/>
      <c r="B39" s="328"/>
      <c r="C39" s="331"/>
      <c r="D39" s="199">
        <v>9202110103</v>
      </c>
      <c r="E39" s="71" t="s">
        <v>2831</v>
      </c>
      <c r="F39" s="71"/>
      <c r="G39" s="62" t="s">
        <v>33</v>
      </c>
      <c r="H39" s="1242">
        <v>1</v>
      </c>
    </row>
    <row r="40" spans="1:8">
      <c r="A40" s="290"/>
      <c r="B40" s="328"/>
      <c r="C40" s="331"/>
      <c r="D40" s="199"/>
      <c r="E40" s="65" t="s">
        <v>2832</v>
      </c>
      <c r="F40" s="71"/>
      <c r="G40" s="62"/>
      <c r="H40" s="1242"/>
    </row>
    <row r="41" spans="1:8">
      <c r="A41" s="34"/>
      <c r="B41" s="328"/>
      <c r="C41" s="36"/>
      <c r="D41" s="66"/>
      <c r="E41" s="77"/>
      <c r="F41" s="39"/>
      <c r="G41" s="40"/>
      <c r="H41" s="559"/>
    </row>
    <row r="42" spans="1:8" ht="25.5">
      <c r="A42" s="34">
        <f>MAX(A$1:A41)+1</f>
        <v>8</v>
      </c>
      <c r="B42" s="328"/>
      <c r="C42" s="195">
        <v>92022501</v>
      </c>
      <c r="D42" s="196"/>
      <c r="E42" s="38" t="s">
        <v>478</v>
      </c>
      <c r="F42" s="192"/>
      <c r="G42" s="40" t="s">
        <v>33</v>
      </c>
      <c r="H42" s="1243">
        <v>6</v>
      </c>
    </row>
    <row r="43" spans="1:8" ht="25.5">
      <c r="A43" s="290"/>
      <c r="B43" s="328"/>
      <c r="C43" s="37"/>
      <c r="D43" s="199">
        <v>9202250102</v>
      </c>
      <c r="E43" s="71" t="s">
        <v>479</v>
      </c>
      <c r="F43" s="278"/>
      <c r="G43" s="62" t="s">
        <v>33</v>
      </c>
      <c r="H43" s="560">
        <v>6</v>
      </c>
    </row>
    <row r="44" spans="1:8" ht="25.5">
      <c r="A44" s="290"/>
      <c r="B44" s="328"/>
      <c r="C44" s="37"/>
      <c r="D44" s="191"/>
      <c r="E44" s="103" t="s">
        <v>2833</v>
      </c>
      <c r="F44" s="278">
        <f>2*3</f>
        <v>6</v>
      </c>
      <c r="G44" s="32"/>
      <c r="H44" s="561"/>
    </row>
    <row r="45" spans="1:8" ht="15.75" thickBot="1">
      <c r="A45" s="459"/>
      <c r="B45" s="460"/>
      <c r="C45" s="391"/>
      <c r="D45" s="461"/>
      <c r="E45" s="462"/>
      <c r="F45" s="524"/>
      <c r="G45" s="525"/>
      <c r="H45" s="574"/>
    </row>
    <row r="46" spans="1:8">
      <c r="A46" s="526"/>
      <c r="B46" s="527"/>
      <c r="C46" s="344"/>
      <c r="D46" s="519"/>
      <c r="E46" s="129"/>
      <c r="F46" s="131"/>
      <c r="G46" s="326"/>
      <c r="H46" s="528"/>
    </row>
    <row r="47" spans="1:8">
      <c r="A47" s="410"/>
      <c r="B47" s="410"/>
      <c r="C47" s="410"/>
      <c r="D47" s="410"/>
      <c r="E47" s="410"/>
      <c r="F47" s="498"/>
      <c r="G47" s="501"/>
      <c r="H47" s="500"/>
    </row>
  </sheetData>
  <sheetProtection algorithmName="SHA-512" hashValue="d4g+21qFCVJQvtxhI+i1blSNVD506fyEoxVmZg7hPosiPJPRhIbua3t0+qETojB1a9Bx4JXdRACw3mrF+y3uuQ==" saltValue="xHYXG6NCdXoNtUT3hkTcs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33962-5899-418B-9772-570E865427A4}">
  <sheetPr codeName="Hárok40"/>
  <dimension ref="A1:I44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2835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2819</v>
      </c>
      <c r="D8" s="37"/>
      <c r="E8" s="38" t="s">
        <v>2820</v>
      </c>
      <c r="F8" s="39"/>
      <c r="G8" s="40" t="s">
        <v>33</v>
      </c>
      <c r="H8" s="941">
        <v>1</v>
      </c>
      <c r="I8" s="942"/>
    </row>
    <row r="9" spans="1:9">
      <c r="A9" s="34"/>
      <c r="B9" s="464"/>
      <c r="C9" s="36"/>
      <c r="D9" s="37"/>
      <c r="E9" s="38"/>
      <c r="F9" s="46">
        <v>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158</v>
      </c>
      <c r="D13" s="37"/>
      <c r="E13" s="38" t="s">
        <v>159</v>
      </c>
      <c r="F13" s="264"/>
      <c r="G13" s="286" t="s">
        <v>18</v>
      </c>
      <c r="H13" s="540">
        <v>13.48</v>
      </c>
      <c r="I13" s="942"/>
    </row>
    <row r="14" spans="1:9">
      <c r="A14" s="320"/>
      <c r="B14" s="80"/>
      <c r="C14" s="66"/>
      <c r="D14" s="67" t="s">
        <v>160</v>
      </c>
      <c r="E14" s="71" t="s">
        <v>161</v>
      </c>
      <c r="F14" s="212"/>
      <c r="G14" s="295" t="s">
        <v>18</v>
      </c>
      <c r="H14" s="566">
        <v>13.48</v>
      </c>
      <c r="I14" s="942"/>
    </row>
    <row r="15" spans="1:9">
      <c r="A15" s="320"/>
      <c r="B15" s="80"/>
      <c r="C15" s="66"/>
      <c r="D15" s="67"/>
      <c r="E15" s="330" t="s">
        <v>2836</v>
      </c>
      <c r="F15" s="212">
        <f>18*0.3*0.45</f>
        <v>2.4299999999999997</v>
      </c>
      <c r="G15" s="295"/>
      <c r="H15" s="542"/>
      <c r="I15" s="942"/>
    </row>
    <row r="16" spans="1:9">
      <c r="A16" s="320"/>
      <c r="B16" s="80"/>
      <c r="C16" s="66"/>
      <c r="D16" s="67"/>
      <c r="E16" s="330" t="s">
        <v>2837</v>
      </c>
      <c r="F16" s="213">
        <f>127*0.3*0.29</f>
        <v>11.048999999999999</v>
      </c>
      <c r="G16" s="295"/>
      <c r="H16" s="542"/>
      <c r="I16" s="942"/>
    </row>
    <row r="17" spans="1:9">
      <c r="A17" s="320"/>
      <c r="B17" s="80"/>
      <c r="C17" s="66"/>
      <c r="D17" s="67"/>
      <c r="E17" s="330"/>
      <c r="F17" s="224">
        <f>SUM(F15:F16)</f>
        <v>13.478999999999999</v>
      </c>
      <c r="G17" s="295"/>
      <c r="H17" s="542"/>
      <c r="I17" s="942"/>
    </row>
    <row r="18" spans="1:9">
      <c r="A18" s="320"/>
      <c r="B18" s="80"/>
      <c r="C18" s="66"/>
      <c r="D18" s="67"/>
      <c r="E18" s="330"/>
      <c r="F18" s="212"/>
      <c r="G18" s="295"/>
      <c r="H18" s="542"/>
      <c r="I18" s="942"/>
    </row>
    <row r="19" spans="1:9">
      <c r="A19" s="34">
        <f>MAX(A$1:A18)+1</f>
        <v>3</v>
      </c>
      <c r="B19" s="335"/>
      <c r="C19" s="435" t="s">
        <v>78</v>
      </c>
      <c r="D19" s="436"/>
      <c r="E19" s="437" t="s">
        <v>79</v>
      </c>
      <c r="F19" s="547"/>
      <c r="G19" s="511" t="s">
        <v>18</v>
      </c>
      <c r="H19" s="544">
        <v>13.48</v>
      </c>
      <c r="I19" s="942"/>
    </row>
    <row r="20" spans="1:9">
      <c r="A20" s="334"/>
      <c r="B20" s="429"/>
      <c r="C20" s="430"/>
      <c r="D20" s="431" t="s">
        <v>80</v>
      </c>
      <c r="E20" s="305" t="s">
        <v>81</v>
      </c>
      <c r="F20" s="548"/>
      <c r="G20" s="512" t="s">
        <v>18</v>
      </c>
      <c r="H20" s="545">
        <v>13.48</v>
      </c>
      <c r="I20" s="942"/>
    </row>
    <row r="21" spans="1:9">
      <c r="A21" s="438"/>
      <c r="B21" s="429"/>
      <c r="C21" s="430"/>
      <c r="D21" s="431"/>
      <c r="E21" s="549" t="s">
        <v>181</v>
      </c>
      <c r="F21" s="547">
        <f>F17</f>
        <v>13.478999999999999</v>
      </c>
      <c r="G21" s="512"/>
      <c r="H21" s="535"/>
    </row>
    <row r="22" spans="1:9">
      <c r="A22" s="438"/>
      <c r="B22" s="429"/>
      <c r="C22" s="430"/>
      <c r="D22" s="431"/>
      <c r="E22" s="549" t="s">
        <v>2838</v>
      </c>
      <c r="F22" s="547"/>
      <c r="G22" s="512"/>
      <c r="H22" s="535"/>
    </row>
    <row r="23" spans="1:9">
      <c r="A23" s="34"/>
      <c r="B23" s="329"/>
      <c r="C23" s="36"/>
      <c r="D23" s="37"/>
      <c r="E23" s="38"/>
      <c r="F23" s="39"/>
      <c r="G23" s="40"/>
      <c r="H23" s="587"/>
    </row>
    <row r="24" spans="1:9">
      <c r="A24" s="72"/>
      <c r="B24" s="35" t="s">
        <v>2694</v>
      </c>
      <c r="C24" s="35"/>
      <c r="D24" s="94"/>
      <c r="E24" s="50" t="s">
        <v>2695</v>
      </c>
      <c r="F24" s="61"/>
      <c r="G24" s="62"/>
      <c r="H24" s="557"/>
    </row>
    <row r="25" spans="1:9">
      <c r="A25" s="72"/>
      <c r="B25" s="35"/>
      <c r="C25" s="35"/>
      <c r="D25" s="94"/>
      <c r="E25" s="50"/>
      <c r="F25" s="61"/>
      <c r="G25" s="62"/>
      <c r="H25" s="557"/>
    </row>
    <row r="26" spans="1:9" ht="25.5">
      <c r="A26" s="34">
        <f>MAX(A$1:A25)+1</f>
        <v>4</v>
      </c>
      <c r="B26" s="329"/>
      <c r="C26" s="195">
        <v>92020401</v>
      </c>
      <c r="D26" s="196"/>
      <c r="E26" s="38" t="s">
        <v>2702</v>
      </c>
      <c r="F26" s="38"/>
      <c r="G26" s="40" t="s">
        <v>36</v>
      </c>
      <c r="H26" s="587">
        <v>105</v>
      </c>
    </row>
    <row r="27" spans="1:9" ht="25.5">
      <c r="A27" s="290"/>
      <c r="B27" s="35"/>
      <c r="C27" s="198"/>
      <c r="D27" s="199">
        <v>9202040101</v>
      </c>
      <c r="E27" s="71" t="s">
        <v>2703</v>
      </c>
      <c r="F27" s="71"/>
      <c r="G27" s="62" t="s">
        <v>36</v>
      </c>
      <c r="H27" s="1242">
        <v>105</v>
      </c>
    </row>
    <row r="28" spans="1:9">
      <c r="A28" s="290"/>
      <c r="B28" s="328"/>
      <c r="C28" s="331"/>
      <c r="D28" s="332"/>
      <c r="E28" s="77" t="s">
        <v>2813</v>
      </c>
      <c r="F28" s="454">
        <v>30</v>
      </c>
      <c r="G28" s="333"/>
      <c r="H28" s="558"/>
    </row>
    <row r="29" spans="1:9">
      <c r="A29" s="290"/>
      <c r="B29" s="328"/>
      <c r="C29" s="331"/>
      <c r="D29" s="332"/>
      <c r="E29" s="77" t="s">
        <v>2839</v>
      </c>
      <c r="F29" s="454">
        <v>7</v>
      </c>
      <c r="G29" s="333"/>
      <c r="H29" s="558"/>
    </row>
    <row r="30" spans="1:9">
      <c r="A30" s="290"/>
      <c r="B30" s="328"/>
      <c r="C30" s="331"/>
      <c r="D30" s="332"/>
      <c r="E30" s="77" t="s">
        <v>2840</v>
      </c>
      <c r="F30" s="1255">
        <v>68</v>
      </c>
      <c r="G30" s="333"/>
      <c r="H30" s="558"/>
    </row>
    <row r="31" spans="1:9">
      <c r="A31" s="290"/>
      <c r="B31" s="328"/>
      <c r="C31" s="331"/>
      <c r="D31" s="332"/>
      <c r="E31" s="77"/>
      <c r="F31" s="454">
        <f>SUM(F28:F30)</f>
        <v>105</v>
      </c>
      <c r="G31" s="333"/>
      <c r="H31" s="558"/>
    </row>
    <row r="32" spans="1:9">
      <c r="A32" s="34"/>
      <c r="B32" s="328"/>
      <c r="C32" s="36"/>
      <c r="D32" s="66"/>
      <c r="E32" s="77"/>
      <c r="F32" s="39"/>
      <c r="G32" s="40"/>
      <c r="H32" s="559"/>
    </row>
    <row r="33" spans="1:8" ht="25.5">
      <c r="A33" s="34">
        <f>MAX(A$1:A32)+1</f>
        <v>5</v>
      </c>
      <c r="B33" s="328"/>
      <c r="C33" s="195">
        <v>92020103</v>
      </c>
      <c r="D33" s="196"/>
      <c r="E33" s="38" t="s">
        <v>720</v>
      </c>
      <c r="F33" s="38"/>
      <c r="G33" s="40" t="s">
        <v>36</v>
      </c>
      <c r="H33" s="544">
        <v>16</v>
      </c>
    </row>
    <row r="34" spans="1:8" ht="25.5">
      <c r="A34" s="34"/>
      <c r="B34" s="328"/>
      <c r="C34" s="442"/>
      <c r="D34" s="199">
        <v>9202010301</v>
      </c>
      <c r="E34" s="71" t="s">
        <v>2841</v>
      </c>
      <c r="F34" s="71"/>
      <c r="G34" s="62" t="s">
        <v>36</v>
      </c>
      <c r="H34" s="553">
        <v>6</v>
      </c>
    </row>
    <row r="35" spans="1:8">
      <c r="A35" s="34"/>
      <c r="B35" s="328"/>
      <c r="C35" s="442"/>
      <c r="D35" s="199"/>
      <c r="E35" s="65" t="s">
        <v>2808</v>
      </c>
      <c r="F35" s="231">
        <v>6</v>
      </c>
      <c r="G35" s="62"/>
      <c r="H35" s="553"/>
    </row>
    <row r="36" spans="1:8" ht="25.5">
      <c r="A36" s="34"/>
      <c r="B36" s="328"/>
      <c r="C36" s="442"/>
      <c r="D36" s="199">
        <v>9202010305</v>
      </c>
      <c r="E36" s="71" t="s">
        <v>721</v>
      </c>
      <c r="F36" s="71"/>
      <c r="G36" s="62" t="s">
        <v>36</v>
      </c>
      <c r="H36" s="553">
        <v>10</v>
      </c>
    </row>
    <row r="37" spans="1:8">
      <c r="A37" s="34"/>
      <c r="B37" s="328"/>
      <c r="C37" s="430"/>
      <c r="D37" s="431"/>
      <c r="E37" s="549" t="s">
        <v>2808</v>
      </c>
      <c r="F37" s="547">
        <v>10</v>
      </c>
      <c r="G37" s="512"/>
      <c r="H37" s="553"/>
    </row>
    <row r="38" spans="1:8">
      <c r="A38" s="34"/>
      <c r="B38" s="352"/>
      <c r="C38" s="430"/>
      <c r="D38" s="839"/>
      <c r="E38" s="549"/>
      <c r="F38" s="547"/>
      <c r="G38" s="512"/>
      <c r="H38" s="553"/>
    </row>
    <row r="39" spans="1:8" ht="25.5">
      <c r="A39" s="34">
        <f>MAX(A$1:A38)+1</f>
        <v>6</v>
      </c>
      <c r="B39" s="328"/>
      <c r="C39" s="195">
        <v>92022501</v>
      </c>
      <c r="D39" s="196"/>
      <c r="E39" s="38" t="s">
        <v>478</v>
      </c>
      <c r="F39" s="192"/>
      <c r="G39" s="40" t="s">
        <v>33</v>
      </c>
      <c r="H39" s="1243">
        <v>2</v>
      </c>
    </row>
    <row r="40" spans="1:8" ht="25.5">
      <c r="A40" s="290"/>
      <c r="B40" s="328"/>
      <c r="C40" s="37"/>
      <c r="D40" s="199">
        <v>9202250102</v>
      </c>
      <c r="E40" s="71" t="s">
        <v>479</v>
      </c>
      <c r="F40" s="278"/>
      <c r="G40" s="62" t="s">
        <v>33</v>
      </c>
      <c r="H40" s="560">
        <v>2</v>
      </c>
    </row>
    <row r="41" spans="1:8" ht="25.5">
      <c r="A41" s="290"/>
      <c r="B41" s="328"/>
      <c r="C41" s="37"/>
      <c r="D41" s="191"/>
      <c r="E41" s="103" t="s">
        <v>2833</v>
      </c>
      <c r="F41" s="278">
        <v>2</v>
      </c>
      <c r="G41" s="32"/>
      <c r="H41" s="561"/>
    </row>
    <row r="42" spans="1:8" ht="15.75" thickBot="1">
      <c r="A42" s="459"/>
      <c r="B42" s="460"/>
      <c r="C42" s="391"/>
      <c r="D42" s="461"/>
      <c r="E42" s="462"/>
      <c r="F42" s="524"/>
      <c r="G42" s="525"/>
      <c r="H42" s="574"/>
    </row>
    <row r="43" spans="1:8">
      <c r="A43" s="526"/>
      <c r="B43" s="527"/>
      <c r="C43" s="344"/>
      <c r="D43" s="519"/>
      <c r="E43" s="129"/>
      <c r="F43" s="131"/>
      <c r="G43" s="326"/>
      <c r="H43" s="528"/>
    </row>
    <row r="44" spans="1:8">
      <c r="A44" s="410"/>
      <c r="B44" s="410"/>
      <c r="C44" s="410"/>
      <c r="D44" s="410"/>
      <c r="E44" s="410"/>
      <c r="F44" s="498"/>
      <c r="G44" s="501"/>
      <c r="H44" s="500"/>
    </row>
  </sheetData>
  <sheetProtection algorithmName="SHA-512" hashValue="xQ7xen/ZWY+HtPzD0mQkHeglPu+oY4w3L383VpSlnR+G5GKsfJqdEbT3VBKa2wcra44ZgkbcEHXf+bScb9TpOQ==" saltValue="HfujUR/4DQqpO1ecbT3bi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0EAB-E16B-4197-BB60-545BC41FDDC9}">
  <sheetPr codeName="Hárok41"/>
  <dimension ref="A1:J147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2843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F29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 customFormat="1" ht="15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 customFormat="1" ht="15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2729</v>
      </c>
      <c r="D18" s="1244"/>
      <c r="E18" s="1245" t="s">
        <v>2730</v>
      </c>
      <c r="F18" s="1246"/>
      <c r="G18" s="31" t="s">
        <v>33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2845</v>
      </c>
      <c r="D21" s="1257"/>
      <c r="E21" s="38" t="s">
        <v>2846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2847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2848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2849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58</v>
      </c>
      <c r="D31" s="248"/>
      <c r="E31" s="38" t="s">
        <v>59</v>
      </c>
      <c r="F31" s="78"/>
      <c r="G31" s="40" t="s">
        <v>18</v>
      </c>
      <c r="H31" s="64">
        <v>2.3199999999999998</v>
      </c>
    </row>
    <row r="32" spans="1:8" customFormat="1" ht="15">
      <c r="A32" s="145"/>
      <c r="B32" s="31"/>
      <c r="C32" s="66"/>
      <c r="D32" s="242" t="s">
        <v>60</v>
      </c>
      <c r="E32" s="71" t="s">
        <v>61</v>
      </c>
      <c r="F32" s="28"/>
      <c r="G32" s="62" t="s">
        <v>18</v>
      </c>
      <c r="H32" s="83">
        <v>2.3199999999999998</v>
      </c>
    </row>
    <row r="33" spans="1:8" customFormat="1" ht="15">
      <c r="A33" s="145"/>
      <c r="B33" s="31"/>
      <c r="C33" s="66"/>
      <c r="D33" s="242"/>
      <c r="E33" s="157" t="s">
        <v>2741</v>
      </c>
      <c r="F33" s="144">
        <f>F37</f>
        <v>2.3240000000000003</v>
      </c>
      <c r="G33" s="62"/>
      <c r="H33" s="83"/>
    </row>
    <row r="34" spans="1:8" customFormat="1" ht="15">
      <c r="A34" s="145"/>
      <c r="B34" s="31"/>
      <c r="C34" s="66"/>
      <c r="D34" s="242"/>
      <c r="E34" s="157"/>
      <c r="F34" s="144"/>
      <c r="G34" s="62"/>
      <c r="H34" s="83"/>
    </row>
    <row r="35" spans="1:8" customFormat="1" ht="15">
      <c r="A35" s="34">
        <f>MAX(A$1:A34)+1</f>
        <v>8</v>
      </c>
      <c r="B35" s="43"/>
      <c r="C35" s="36" t="s">
        <v>50</v>
      </c>
      <c r="D35" s="37"/>
      <c r="E35" s="38" t="s">
        <v>51</v>
      </c>
      <c r="F35" s="39"/>
      <c r="G35" s="40" t="s">
        <v>18</v>
      </c>
      <c r="H35" s="64">
        <v>2.3199999999999998</v>
      </c>
    </row>
    <row r="36" spans="1:8" customFormat="1" ht="25.5">
      <c r="A36" s="72"/>
      <c r="B36" s="73"/>
      <c r="C36" s="66"/>
      <c r="D36" s="67" t="s">
        <v>138</v>
      </c>
      <c r="E36" s="71" t="s">
        <v>139</v>
      </c>
      <c r="F36" s="61"/>
      <c r="G36" s="62" t="s">
        <v>18</v>
      </c>
      <c r="H36" s="83">
        <v>2.3199999999999998</v>
      </c>
    </row>
    <row r="37" spans="1:8" customFormat="1" ht="25.5">
      <c r="A37" s="34"/>
      <c r="B37" s="31"/>
      <c r="C37" s="31"/>
      <c r="D37" s="32"/>
      <c r="E37" s="168" t="s">
        <v>2850</v>
      </c>
      <c r="F37" s="170">
        <f>(1.3*1*1)+(0.3*1.6*1.6)+(1.6*1.6*0.1)</f>
        <v>2.3240000000000003</v>
      </c>
      <c r="G37" s="29"/>
      <c r="H37" s="83"/>
    </row>
    <row r="38" spans="1:8" customFormat="1" ht="15">
      <c r="A38" s="145"/>
      <c r="B38" s="31"/>
      <c r="C38" s="31"/>
      <c r="D38" s="32"/>
      <c r="E38" s="168"/>
      <c r="F38" s="172"/>
      <c r="G38" s="29"/>
      <c r="H38" s="83"/>
    </row>
    <row r="39" spans="1:8" customFormat="1" ht="15">
      <c r="A39" s="145"/>
      <c r="B39" s="35" t="s">
        <v>2749</v>
      </c>
      <c r="C39" s="35"/>
      <c r="D39" s="94"/>
      <c r="E39" s="50" t="s">
        <v>2750</v>
      </c>
      <c r="F39" s="28"/>
      <c r="G39" s="29"/>
      <c r="H39" s="83"/>
    </row>
    <row r="40" spans="1:8" customFormat="1" ht="15">
      <c r="A40" s="145"/>
      <c r="B40" s="31"/>
      <c r="C40" s="31"/>
      <c r="D40" s="32"/>
      <c r="E40" s="33"/>
      <c r="F40" s="28"/>
      <c r="G40" s="29"/>
      <c r="H40" s="83"/>
    </row>
    <row r="41" spans="1:8" customFormat="1" ht="15">
      <c r="A41" s="34">
        <f>MAX(A$1:A40)+1</f>
        <v>9</v>
      </c>
      <c r="B41" s="31"/>
      <c r="C41" s="36" t="s">
        <v>418</v>
      </c>
      <c r="D41" s="37"/>
      <c r="E41" s="38" t="s">
        <v>419</v>
      </c>
      <c r="F41" s="39"/>
      <c r="G41" s="40" t="s">
        <v>18</v>
      </c>
      <c r="H41" s="64">
        <v>2.3199999999999998</v>
      </c>
    </row>
    <row r="42" spans="1:8" customFormat="1" ht="15">
      <c r="A42" s="145"/>
      <c r="B42" s="31"/>
      <c r="C42" s="31"/>
      <c r="D42" s="191" t="s">
        <v>2751</v>
      </c>
      <c r="E42" s="193" t="s">
        <v>2752</v>
      </c>
      <c r="F42" s="192"/>
      <c r="G42" s="32" t="s">
        <v>18</v>
      </c>
      <c r="H42" s="83">
        <v>2.3199999999999998</v>
      </c>
    </row>
    <row r="43" spans="1:8" customFormat="1" ht="25.5">
      <c r="A43" s="145"/>
      <c r="B43" s="31"/>
      <c r="C43" s="31"/>
      <c r="D43" s="32"/>
      <c r="E43" s="157" t="s">
        <v>2849</v>
      </c>
      <c r="F43" s="603">
        <f xml:space="preserve"> (1.3*1*1)+(0.3*1.6*1.6)+(1.6*1.6*0.1)</f>
        <v>2.3240000000000003</v>
      </c>
      <c r="G43" s="29"/>
      <c r="H43" s="83"/>
    </row>
    <row r="44" spans="1:8" customFormat="1" ht="15">
      <c r="A44" s="145"/>
      <c r="B44" s="31"/>
      <c r="C44" s="31"/>
      <c r="D44" s="32"/>
      <c r="E44" s="33"/>
      <c r="F44" s="28"/>
      <c r="G44" s="29"/>
      <c r="H44" s="83"/>
    </row>
    <row r="45" spans="1:8" customFormat="1" ht="15">
      <c r="A45" s="34">
        <f>MAX(A$1:A44)+1</f>
        <v>10</v>
      </c>
      <c r="B45" s="31"/>
      <c r="C45" s="36" t="s">
        <v>2754</v>
      </c>
      <c r="D45" s="37"/>
      <c r="E45" s="38" t="s">
        <v>2755</v>
      </c>
      <c r="F45" s="39"/>
      <c r="G45" s="40" t="s">
        <v>21</v>
      </c>
      <c r="H45" s="64">
        <v>11.520000000000001</v>
      </c>
    </row>
    <row r="46" spans="1:8" customFormat="1" ht="15">
      <c r="A46" s="145"/>
      <c r="B46" s="31"/>
      <c r="C46" s="31"/>
      <c r="D46" s="67" t="s">
        <v>2756</v>
      </c>
      <c r="E46" s="71" t="s">
        <v>2757</v>
      </c>
      <c r="F46" s="61"/>
      <c r="G46" s="62" t="s">
        <v>21</v>
      </c>
      <c r="H46" s="83">
        <v>11.520000000000001</v>
      </c>
    </row>
    <row r="47" spans="1:8" customFormat="1" ht="15">
      <c r="A47" s="145"/>
      <c r="B47" s="31"/>
      <c r="C47" s="31"/>
      <c r="D47" s="32"/>
      <c r="E47" s="157" t="s">
        <v>2851</v>
      </c>
      <c r="F47" s="170">
        <f>((1.6*1.8)*4)</f>
        <v>11.520000000000001</v>
      </c>
      <c r="G47" s="29"/>
      <c r="H47" s="83"/>
    </row>
    <row r="48" spans="1:8" customFormat="1" ht="15">
      <c r="A48" s="145"/>
      <c r="B48" s="31"/>
      <c r="C48" s="31"/>
      <c r="D48" s="32"/>
      <c r="E48" s="168"/>
      <c r="F48" s="172"/>
      <c r="G48" s="29"/>
      <c r="H48" s="83"/>
    </row>
    <row r="49" spans="1:8" customFormat="1" ht="15">
      <c r="A49" s="95"/>
      <c r="B49" s="35" t="s">
        <v>621</v>
      </c>
      <c r="C49" s="35"/>
      <c r="D49" s="94"/>
      <c r="E49" s="50" t="s">
        <v>622</v>
      </c>
      <c r="F49" s="100"/>
      <c r="G49" s="97"/>
      <c r="H49" s="42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15">
      <c r="A51" s="34">
        <f>MAX(A$1:A50)+1</f>
        <v>11</v>
      </c>
      <c r="B51" s="43"/>
      <c r="C51" s="195">
        <v>92010101</v>
      </c>
      <c r="D51" s="196"/>
      <c r="E51" s="38" t="s">
        <v>2852</v>
      </c>
      <c r="F51" s="39"/>
      <c r="G51" s="40" t="s">
        <v>33</v>
      </c>
      <c r="H51" s="64">
        <v>1</v>
      </c>
    </row>
    <row r="52" spans="1:8" customFormat="1" ht="15">
      <c r="A52" s="34"/>
      <c r="B52" s="73"/>
      <c r="C52" s="198"/>
      <c r="D52" s="199">
        <v>9201010103</v>
      </c>
      <c r="E52" s="71" t="s">
        <v>2853</v>
      </c>
      <c r="F52" s="61"/>
      <c r="G52" s="62" t="s">
        <v>33</v>
      </c>
      <c r="H52" s="83">
        <v>1</v>
      </c>
    </row>
    <row r="53" spans="1:8" customFormat="1" ht="15">
      <c r="A53" s="34"/>
      <c r="B53" s="125"/>
      <c r="C53" s="125"/>
      <c r="D53" s="601"/>
      <c r="E53" s="168" t="s">
        <v>2854</v>
      </c>
      <c r="F53" s="603">
        <v>1</v>
      </c>
      <c r="G53" s="32"/>
      <c r="H53" s="83"/>
    </row>
    <row r="54" spans="1:8" customFormat="1" ht="15">
      <c r="A54" s="34"/>
      <c r="B54" s="125"/>
      <c r="C54" s="125"/>
      <c r="D54" s="601"/>
      <c r="E54" s="193"/>
      <c r="F54" s="603"/>
      <c r="G54" s="32"/>
      <c r="H54" s="83"/>
    </row>
    <row r="55" spans="1:8" customFormat="1" ht="15">
      <c r="A55" s="34">
        <f>MAX(A$1:A54)+1</f>
        <v>12</v>
      </c>
      <c r="B55" s="43"/>
      <c r="C55" s="195">
        <v>92010109</v>
      </c>
      <c r="D55" s="196"/>
      <c r="E55" s="38" t="s">
        <v>2855</v>
      </c>
      <c r="F55" s="39"/>
      <c r="G55" s="40" t="s">
        <v>33</v>
      </c>
      <c r="H55" s="64">
        <v>1</v>
      </c>
    </row>
    <row r="56" spans="1:8" customFormat="1" ht="15">
      <c r="A56" s="34"/>
      <c r="B56" s="73"/>
      <c r="C56" s="198"/>
      <c r="D56" s="199">
        <v>9201010902</v>
      </c>
      <c r="E56" s="71" t="s">
        <v>2856</v>
      </c>
      <c r="F56" s="61"/>
      <c r="G56" s="62" t="s">
        <v>33</v>
      </c>
      <c r="H56" s="83">
        <v>1</v>
      </c>
    </row>
    <row r="57" spans="1:8" customFormat="1" ht="15">
      <c r="A57" s="34"/>
      <c r="B57" s="125"/>
      <c r="C57" s="125"/>
      <c r="D57" s="601"/>
      <c r="E57" s="168" t="s">
        <v>2857</v>
      </c>
      <c r="F57" s="603">
        <v>1</v>
      </c>
      <c r="G57" s="32"/>
      <c r="H57" s="83"/>
    </row>
    <row r="58" spans="1:8" customFormat="1" ht="15">
      <c r="A58" s="34"/>
      <c r="B58" s="125"/>
      <c r="C58" s="125"/>
      <c r="D58" s="601"/>
      <c r="E58" s="193"/>
      <c r="F58" s="603"/>
      <c r="G58" s="32"/>
      <c r="H58" s="83"/>
    </row>
    <row r="59" spans="1:8" customFormat="1" ht="25.5">
      <c r="A59" s="34">
        <f>MAX(A$1:A58)+1</f>
        <v>13</v>
      </c>
      <c r="B59" s="43"/>
      <c r="C59" s="195">
        <v>92010204</v>
      </c>
      <c r="D59" s="196"/>
      <c r="E59" s="38" t="s">
        <v>2858</v>
      </c>
      <c r="F59" s="39"/>
      <c r="G59" s="40" t="s">
        <v>33</v>
      </c>
      <c r="H59" s="64">
        <v>2</v>
      </c>
    </row>
    <row r="60" spans="1:8" customFormat="1" ht="25.5">
      <c r="A60" s="34"/>
      <c r="B60" s="73"/>
      <c r="C60" s="198"/>
      <c r="D60" s="199">
        <v>9201020401</v>
      </c>
      <c r="E60" s="71" t="s">
        <v>2859</v>
      </c>
      <c r="F60" s="61"/>
      <c r="G60" s="62" t="s">
        <v>33</v>
      </c>
      <c r="H60" s="83">
        <v>2</v>
      </c>
    </row>
    <row r="61" spans="1:8" customFormat="1" ht="15">
      <c r="A61" s="34"/>
      <c r="B61" s="125"/>
      <c r="C61" s="125"/>
      <c r="D61" s="601"/>
      <c r="E61" s="168" t="s">
        <v>2860</v>
      </c>
      <c r="F61" s="603">
        <v>1</v>
      </c>
      <c r="G61" s="32"/>
      <c r="H61" s="83"/>
    </row>
    <row r="62" spans="1:8" customFormat="1" ht="15">
      <c r="A62" s="34"/>
      <c r="B62" s="125"/>
      <c r="C62" s="125"/>
      <c r="D62" s="601"/>
      <c r="E62" s="168" t="s">
        <v>2861</v>
      </c>
      <c r="F62" s="705">
        <v>1</v>
      </c>
      <c r="G62" s="32"/>
      <c r="H62" s="83"/>
    </row>
    <row r="63" spans="1:8" customFormat="1" ht="15">
      <c r="A63" s="34"/>
      <c r="B63" s="125"/>
      <c r="C63" s="125"/>
      <c r="D63" s="601"/>
      <c r="E63" s="168" t="s">
        <v>1130</v>
      </c>
      <c r="F63" s="706">
        <f>SUM(F60:F62)</f>
        <v>2</v>
      </c>
      <c r="G63" s="32"/>
      <c r="H63" s="83"/>
    </row>
    <row r="64" spans="1:8" customFormat="1" ht="15">
      <c r="A64" s="34"/>
      <c r="B64" s="125"/>
      <c r="C64" s="125"/>
      <c r="D64" s="601"/>
      <c r="E64" s="193"/>
      <c r="F64" s="603"/>
      <c r="G64" s="32"/>
      <c r="H64" s="83"/>
    </row>
    <row r="65" spans="1:8" customFormat="1" ht="25.5">
      <c r="A65" s="34">
        <f>MAX(A$1:A64)+1</f>
        <v>14</v>
      </c>
      <c r="B65" s="43"/>
      <c r="C65" s="195">
        <v>92010207</v>
      </c>
      <c r="D65" s="196"/>
      <c r="E65" s="38" t="s">
        <v>2862</v>
      </c>
      <c r="F65" s="39"/>
      <c r="G65" s="40" t="s">
        <v>33</v>
      </c>
      <c r="H65" s="64">
        <v>2</v>
      </c>
    </row>
    <row r="66" spans="1:8" customFormat="1" ht="25.5">
      <c r="A66" s="34"/>
      <c r="B66" s="73"/>
      <c r="C66" s="198"/>
      <c r="D66" s="199">
        <v>9201020702</v>
      </c>
      <c r="E66" s="71" t="s">
        <v>2863</v>
      </c>
      <c r="F66" s="61"/>
      <c r="G66" s="62" t="s">
        <v>33</v>
      </c>
      <c r="H66" s="83">
        <v>2</v>
      </c>
    </row>
    <row r="67" spans="1:8" customFormat="1" ht="15">
      <c r="A67" s="34"/>
      <c r="B67" s="125"/>
      <c r="C67" s="125"/>
      <c r="D67" s="601"/>
      <c r="E67" s="168" t="s">
        <v>2864</v>
      </c>
      <c r="F67" s="603">
        <v>1</v>
      </c>
      <c r="G67" s="32"/>
      <c r="H67" s="83"/>
    </row>
    <row r="68" spans="1:8" customFormat="1" ht="15">
      <c r="A68" s="34"/>
      <c r="B68" s="125"/>
      <c r="C68" s="125"/>
      <c r="D68" s="601"/>
      <c r="E68" s="168" t="s">
        <v>2865</v>
      </c>
      <c r="F68" s="705">
        <v>1</v>
      </c>
      <c r="G68" s="32"/>
      <c r="H68" s="83"/>
    </row>
    <row r="69" spans="1:8" customFormat="1" ht="15">
      <c r="A69" s="34"/>
      <c r="B69" s="125"/>
      <c r="C69" s="125"/>
      <c r="D69" s="601"/>
      <c r="E69" s="168" t="s">
        <v>1130</v>
      </c>
      <c r="F69" s="706">
        <f>SUM(F66:F68)</f>
        <v>2</v>
      </c>
      <c r="G69" s="32"/>
      <c r="H69" s="83"/>
    </row>
    <row r="70" spans="1:8" customFormat="1" ht="15">
      <c r="A70" s="34"/>
      <c r="B70" s="125"/>
      <c r="C70" s="125"/>
      <c r="D70" s="601"/>
      <c r="E70" s="168"/>
      <c r="F70" s="603"/>
      <c r="G70" s="32"/>
      <c r="H70" s="83"/>
    </row>
    <row r="71" spans="1:8" customFormat="1" ht="25.5">
      <c r="A71" s="34">
        <f>MAX(A$1:A70)+1</f>
        <v>15</v>
      </c>
      <c r="B71" s="43"/>
      <c r="C71" s="195">
        <v>92020102</v>
      </c>
      <c r="D71" s="196"/>
      <c r="E71" s="38" t="s">
        <v>756</v>
      </c>
      <c r="F71" s="39"/>
      <c r="G71" s="40" t="s">
        <v>36</v>
      </c>
      <c r="H71" s="64">
        <v>12</v>
      </c>
    </row>
    <row r="72" spans="1:8" customFormat="1" ht="25.5">
      <c r="A72" s="34"/>
      <c r="B72" s="73"/>
      <c r="C72" s="198"/>
      <c r="D72" s="199">
        <v>9202010205</v>
      </c>
      <c r="E72" s="71" t="s">
        <v>757</v>
      </c>
      <c r="F72" s="61"/>
      <c r="G72" s="62" t="s">
        <v>36</v>
      </c>
      <c r="H72" s="83">
        <v>12</v>
      </c>
    </row>
    <row r="73" spans="1:8" customFormat="1" ht="15">
      <c r="A73" s="34"/>
      <c r="B73" s="125"/>
      <c r="C73" s="125"/>
      <c r="D73" s="601"/>
      <c r="E73" s="168" t="s">
        <v>1383</v>
      </c>
      <c r="F73" s="603">
        <v>12</v>
      </c>
      <c r="G73" s="32"/>
      <c r="H73" s="83"/>
    </row>
    <row r="74" spans="1:8" customFormat="1" ht="15">
      <c r="A74" s="34"/>
      <c r="B74" s="125"/>
      <c r="C74" s="125"/>
      <c r="D74" s="601"/>
      <c r="E74" s="168"/>
      <c r="F74" s="603"/>
      <c r="G74" s="32"/>
      <c r="H74" s="83"/>
    </row>
    <row r="75" spans="1:8" customFormat="1" ht="25.5">
      <c r="A75" s="34">
        <f>MAX(A$1:A74)+1</f>
        <v>16</v>
      </c>
      <c r="B75" s="43"/>
      <c r="C75" s="195">
        <v>92020105</v>
      </c>
      <c r="D75" s="196"/>
      <c r="E75" s="38" t="s">
        <v>2768</v>
      </c>
      <c r="F75" s="39"/>
      <c r="G75" s="40" t="s">
        <v>36</v>
      </c>
      <c r="H75" s="64">
        <v>12</v>
      </c>
    </row>
    <row r="76" spans="1:8" customFormat="1" ht="25.5">
      <c r="A76" s="34"/>
      <c r="B76" s="73"/>
      <c r="C76" s="198"/>
      <c r="D76" s="199">
        <v>9202010513</v>
      </c>
      <c r="E76" s="71" t="s">
        <v>2769</v>
      </c>
      <c r="F76" s="61"/>
      <c r="G76" s="62" t="s">
        <v>36</v>
      </c>
      <c r="H76" s="83">
        <v>12</v>
      </c>
    </row>
    <row r="77" spans="1:8" customFormat="1" ht="15">
      <c r="A77" s="34"/>
      <c r="B77" s="125"/>
      <c r="C77" s="125"/>
      <c r="D77" s="601"/>
      <c r="E77" s="168" t="s">
        <v>1385</v>
      </c>
      <c r="F77" s="603">
        <v>12</v>
      </c>
      <c r="G77" s="32"/>
      <c r="H77" s="83"/>
    </row>
    <row r="78" spans="1:8" customFormat="1" ht="15">
      <c r="A78" s="34"/>
      <c r="B78" s="125"/>
      <c r="C78" s="125"/>
      <c r="D78" s="601"/>
      <c r="E78" s="168"/>
      <c r="F78" s="603"/>
      <c r="G78" s="32"/>
      <c r="H78" s="83"/>
    </row>
    <row r="79" spans="1:8" customFormat="1" ht="25.5">
      <c r="A79" s="34">
        <f>MAX(A$1:A78)+1</f>
        <v>17</v>
      </c>
      <c r="B79" s="43"/>
      <c r="C79" s="195">
        <v>92020107</v>
      </c>
      <c r="D79" s="196"/>
      <c r="E79" s="38" t="s">
        <v>2697</v>
      </c>
      <c r="F79" s="39"/>
      <c r="G79" s="40" t="s">
        <v>36</v>
      </c>
      <c r="H79" s="64">
        <v>25</v>
      </c>
    </row>
    <row r="80" spans="1:8" customFormat="1" ht="25.5">
      <c r="A80" s="34"/>
      <c r="B80" s="73"/>
      <c r="C80" s="198"/>
      <c r="D80" s="199">
        <v>9202010705</v>
      </c>
      <c r="E80" s="71" t="s">
        <v>2698</v>
      </c>
      <c r="F80" s="61"/>
      <c r="G80" s="62" t="s">
        <v>36</v>
      </c>
      <c r="H80" s="83">
        <v>25</v>
      </c>
    </row>
    <row r="81" spans="1:10" customFormat="1" ht="15">
      <c r="A81" s="34"/>
      <c r="B81" s="125"/>
      <c r="C81" s="125"/>
      <c r="D81" s="601"/>
      <c r="E81" s="168" t="s">
        <v>2770</v>
      </c>
      <c r="F81" s="603">
        <v>25</v>
      </c>
      <c r="G81" s="32"/>
      <c r="H81" s="83"/>
    </row>
    <row r="82" spans="1:10" customFormat="1" ht="15">
      <c r="A82" s="34"/>
      <c r="B82" s="125"/>
      <c r="C82" s="125"/>
      <c r="D82" s="601"/>
      <c r="E82" s="168"/>
      <c r="F82" s="603"/>
      <c r="G82" s="32"/>
      <c r="H82" s="83"/>
    </row>
    <row r="83" spans="1:10" customFormat="1" ht="25.5">
      <c r="A83" s="34">
        <f>MAX(A$1:A82)+1</f>
        <v>18</v>
      </c>
      <c r="B83" s="43"/>
      <c r="C83" s="195">
        <v>92020301</v>
      </c>
      <c r="D83" s="196"/>
      <c r="E83" s="38" t="s">
        <v>476</v>
      </c>
      <c r="F83" s="39"/>
      <c r="G83" s="40" t="s">
        <v>33</v>
      </c>
      <c r="H83" s="64">
        <v>6</v>
      </c>
    </row>
    <row r="84" spans="1:10" customFormat="1" ht="25.5">
      <c r="A84" s="34"/>
      <c r="B84" s="73"/>
      <c r="C84" s="198"/>
      <c r="D84" s="199">
        <v>9202030101</v>
      </c>
      <c r="E84" s="71" t="s">
        <v>477</v>
      </c>
      <c r="F84" s="61"/>
      <c r="G84" s="62" t="s">
        <v>33</v>
      </c>
      <c r="H84" s="83">
        <v>2</v>
      </c>
    </row>
    <row r="85" spans="1:10" customFormat="1" ht="15">
      <c r="A85" s="34"/>
      <c r="B85" s="125"/>
      <c r="C85" s="125"/>
      <c r="D85" s="601"/>
      <c r="E85" s="168" t="s">
        <v>1383</v>
      </c>
      <c r="F85" s="603">
        <v>2</v>
      </c>
      <c r="G85" s="32"/>
      <c r="H85" s="83"/>
    </row>
    <row r="86" spans="1:10" customFormat="1" ht="25.5">
      <c r="A86" s="34"/>
      <c r="B86" s="73"/>
      <c r="C86" s="198"/>
      <c r="D86" s="199">
        <v>9202030102</v>
      </c>
      <c r="E86" s="71" t="s">
        <v>490</v>
      </c>
      <c r="F86" s="61"/>
      <c r="G86" s="62" t="s">
        <v>33</v>
      </c>
      <c r="H86" s="83">
        <v>2</v>
      </c>
    </row>
    <row r="87" spans="1:10" customFormat="1" ht="15">
      <c r="A87" s="34"/>
      <c r="B87" s="125"/>
      <c r="C87" s="125"/>
      <c r="D87" s="601"/>
      <c r="E87" s="168" t="s">
        <v>1385</v>
      </c>
      <c r="F87" s="603">
        <v>2</v>
      </c>
      <c r="G87" s="32"/>
      <c r="H87" s="83"/>
    </row>
    <row r="88" spans="1:10" customFormat="1" ht="25.5">
      <c r="A88" s="34"/>
      <c r="B88" s="73"/>
      <c r="C88" s="198"/>
      <c r="D88" s="199">
        <v>9202030103</v>
      </c>
      <c r="E88" s="71" t="s">
        <v>2782</v>
      </c>
      <c r="F88" s="61"/>
      <c r="G88" s="62" t="s">
        <v>33</v>
      </c>
      <c r="H88" s="83">
        <v>2</v>
      </c>
    </row>
    <row r="89" spans="1:10" customFormat="1" ht="15">
      <c r="A89" s="34"/>
      <c r="B89" s="125"/>
      <c r="C89" s="125"/>
      <c r="D89" s="601"/>
      <c r="E89" s="168" t="s">
        <v>2770</v>
      </c>
      <c r="F89" s="603">
        <v>2</v>
      </c>
      <c r="G89" s="32"/>
      <c r="H89" s="83"/>
    </row>
    <row r="90" spans="1:10" customFormat="1" ht="15">
      <c r="A90" s="34"/>
      <c r="B90" s="125"/>
      <c r="C90" s="125"/>
      <c r="D90" s="601"/>
      <c r="E90" s="168"/>
      <c r="F90" s="603"/>
      <c r="G90" s="32"/>
      <c r="H90" s="83"/>
    </row>
    <row r="91" spans="1:10" customFormat="1" ht="25.5">
      <c r="A91" s="34">
        <f>MAX(A$1:A90)+1</f>
        <v>19</v>
      </c>
      <c r="B91" s="43"/>
      <c r="C91" s="195">
        <v>92020401</v>
      </c>
      <c r="D91" s="196"/>
      <c r="E91" s="38" t="s">
        <v>2702</v>
      </c>
      <c r="F91" s="39"/>
      <c r="G91" s="40" t="s">
        <v>36</v>
      </c>
      <c r="H91" s="64">
        <v>7</v>
      </c>
    </row>
    <row r="92" spans="1:10" customFormat="1" ht="25.5">
      <c r="A92" s="34"/>
      <c r="B92" s="73"/>
      <c r="C92" s="198"/>
      <c r="D92" s="199">
        <v>9202040101</v>
      </c>
      <c r="E92" s="71" t="s">
        <v>2703</v>
      </c>
      <c r="F92" s="61"/>
      <c r="G92" s="62" t="s">
        <v>36</v>
      </c>
      <c r="H92" s="83">
        <v>7</v>
      </c>
    </row>
    <row r="93" spans="1:10" customFormat="1" ht="15">
      <c r="A93" s="34"/>
      <c r="B93" s="125"/>
      <c r="C93" s="125"/>
      <c r="D93" s="601"/>
      <c r="E93" s="168" t="s">
        <v>2783</v>
      </c>
      <c r="F93" s="603">
        <v>7</v>
      </c>
      <c r="G93" s="32"/>
      <c r="H93" s="83"/>
    </row>
    <row r="94" spans="1:10" customFormat="1" ht="15">
      <c r="A94" s="34"/>
      <c r="B94" s="125"/>
      <c r="C94" s="125"/>
      <c r="D94" s="601"/>
      <c r="E94" s="168"/>
      <c r="F94" s="603"/>
      <c r="G94" s="32"/>
      <c r="H94" s="83"/>
    </row>
    <row r="95" spans="1:10" customFormat="1" ht="25.5">
      <c r="A95" s="34">
        <f>MAX(A$1:A94)+1</f>
        <v>20</v>
      </c>
      <c r="B95" s="43"/>
      <c r="C95" s="195">
        <v>92020702</v>
      </c>
      <c r="D95" s="196"/>
      <c r="E95" s="38" t="s">
        <v>718</v>
      </c>
      <c r="F95" s="39"/>
      <c r="G95" s="40" t="s">
        <v>33</v>
      </c>
      <c r="H95" s="64">
        <v>2</v>
      </c>
      <c r="J95" s="208"/>
    </row>
    <row r="96" spans="1:10" customFormat="1" ht="25.5">
      <c r="A96" s="34"/>
      <c r="B96" s="73"/>
      <c r="C96" s="198"/>
      <c r="D96" s="199">
        <v>9202070202</v>
      </c>
      <c r="E96" s="71" t="s">
        <v>719</v>
      </c>
      <c r="F96" s="61"/>
      <c r="G96" s="62" t="s">
        <v>33</v>
      </c>
      <c r="H96" s="83">
        <v>2</v>
      </c>
    </row>
    <row r="97" spans="1:8" customFormat="1" ht="15">
      <c r="A97" s="34"/>
      <c r="B97" s="125"/>
      <c r="C97" s="125"/>
      <c r="D97" s="601"/>
      <c r="E97" s="168" t="s">
        <v>1386</v>
      </c>
      <c r="F97" s="603">
        <v>2</v>
      </c>
      <c r="G97" s="32"/>
      <c r="H97" s="83"/>
    </row>
    <row r="98" spans="1:8" customFormat="1" ht="15">
      <c r="A98" s="34"/>
      <c r="B98" s="125"/>
      <c r="C98" s="125"/>
      <c r="D98" s="601"/>
      <c r="E98" s="168"/>
      <c r="F98" s="603"/>
      <c r="G98" s="32"/>
      <c r="H98" s="83"/>
    </row>
    <row r="99" spans="1:8" customFormat="1" ht="25.5">
      <c r="A99" s="34">
        <f>MAX(A$1:A98)+1</f>
        <v>21</v>
      </c>
      <c r="B99" s="43"/>
      <c r="C99" s="195">
        <v>92022501</v>
      </c>
      <c r="D99" s="196"/>
      <c r="E99" s="38" t="s">
        <v>478</v>
      </c>
      <c r="F99" s="39"/>
      <c r="G99" s="40" t="s">
        <v>33</v>
      </c>
      <c r="H99" s="64">
        <v>15</v>
      </c>
    </row>
    <row r="100" spans="1:8" customFormat="1" ht="25.5">
      <c r="A100" s="34"/>
      <c r="B100" s="73"/>
      <c r="C100" s="198"/>
      <c r="D100" s="199">
        <v>9202250101</v>
      </c>
      <c r="E100" s="71" t="s">
        <v>758</v>
      </c>
      <c r="F100" s="61"/>
      <c r="G100" s="62" t="s">
        <v>33</v>
      </c>
      <c r="H100" s="83">
        <v>3</v>
      </c>
    </row>
    <row r="101" spans="1:8" customFormat="1" ht="15">
      <c r="A101" s="34"/>
      <c r="B101" s="73"/>
      <c r="C101" s="198"/>
      <c r="D101" s="199"/>
      <c r="E101" s="168" t="s">
        <v>1383</v>
      </c>
      <c r="F101" s="603">
        <v>1</v>
      </c>
      <c r="G101" s="62"/>
      <c r="H101" s="83"/>
    </row>
    <row r="102" spans="1:8" customFormat="1" ht="15">
      <c r="A102" s="34"/>
      <c r="B102" s="73"/>
      <c r="C102" s="198"/>
      <c r="D102" s="199"/>
      <c r="E102" s="168" t="s">
        <v>1385</v>
      </c>
      <c r="F102" s="603">
        <v>1</v>
      </c>
      <c r="G102" s="62"/>
      <c r="H102" s="83"/>
    </row>
    <row r="103" spans="1:8" customFormat="1" ht="15">
      <c r="A103" s="34"/>
      <c r="B103" s="73"/>
      <c r="C103" s="198"/>
      <c r="D103" s="199"/>
      <c r="E103" s="168" t="s">
        <v>2770</v>
      </c>
      <c r="F103" s="705">
        <v>1</v>
      </c>
      <c r="G103" s="62"/>
      <c r="H103" s="83"/>
    </row>
    <row r="104" spans="1:8" customFormat="1" ht="15">
      <c r="A104" s="34"/>
      <c r="B104" s="73"/>
      <c r="C104" s="198"/>
      <c r="D104" s="199"/>
      <c r="E104" s="168" t="s">
        <v>1130</v>
      </c>
      <c r="F104" s="706">
        <f>SUM(F101:F103)</f>
        <v>3</v>
      </c>
      <c r="G104" s="62"/>
      <c r="H104" s="83"/>
    </row>
    <row r="105" spans="1:8" customFormat="1" ht="25.5">
      <c r="A105" s="34"/>
      <c r="B105" s="73"/>
      <c r="C105" s="198"/>
      <c r="D105" s="199">
        <v>9202250102</v>
      </c>
      <c r="E105" s="71" t="s">
        <v>479</v>
      </c>
      <c r="F105" s="61"/>
      <c r="G105" s="62" t="s">
        <v>33</v>
      </c>
      <c r="H105" s="83">
        <v>3</v>
      </c>
    </row>
    <row r="106" spans="1:8" customFormat="1" ht="15">
      <c r="A106" s="34"/>
      <c r="B106" s="73"/>
      <c r="C106" s="198"/>
      <c r="D106" s="199"/>
      <c r="E106" s="168" t="s">
        <v>1383</v>
      </c>
      <c r="F106" s="603">
        <v>1</v>
      </c>
      <c r="G106" s="62"/>
      <c r="H106" s="83"/>
    </row>
    <row r="107" spans="1:8" customFormat="1" ht="15">
      <c r="A107" s="34"/>
      <c r="B107" s="73"/>
      <c r="C107" s="198"/>
      <c r="D107" s="199"/>
      <c r="E107" s="168" t="s">
        <v>1385</v>
      </c>
      <c r="F107" s="603">
        <v>1</v>
      </c>
      <c r="G107" s="62"/>
      <c r="H107" s="83"/>
    </row>
    <row r="108" spans="1:8" customFormat="1" ht="15">
      <c r="A108" s="34"/>
      <c r="B108" s="73"/>
      <c r="C108" s="198"/>
      <c r="D108" s="199"/>
      <c r="E108" s="168" t="s">
        <v>2770</v>
      </c>
      <c r="F108" s="705">
        <v>1</v>
      </c>
      <c r="G108" s="62"/>
      <c r="H108" s="83"/>
    </row>
    <row r="109" spans="1:8" customFormat="1" ht="15">
      <c r="A109" s="34"/>
      <c r="B109" s="73"/>
      <c r="C109" s="198"/>
      <c r="D109" s="199"/>
      <c r="E109" s="168" t="s">
        <v>1130</v>
      </c>
      <c r="F109" s="706">
        <f>SUM(F106:F108)</f>
        <v>3</v>
      </c>
      <c r="G109" s="62"/>
      <c r="H109" s="83"/>
    </row>
    <row r="110" spans="1:8" customFormat="1" ht="25.5">
      <c r="A110" s="34"/>
      <c r="B110" s="73"/>
      <c r="C110" s="198"/>
      <c r="D110" s="199">
        <v>9202250104</v>
      </c>
      <c r="E110" s="71" t="s">
        <v>722</v>
      </c>
      <c r="F110" s="61"/>
      <c r="G110" s="62" t="s">
        <v>33</v>
      </c>
      <c r="H110" s="83">
        <v>6</v>
      </c>
    </row>
    <row r="111" spans="1:8" customFormat="1" ht="15">
      <c r="A111" s="34"/>
      <c r="B111" s="73"/>
      <c r="C111" s="198"/>
      <c r="D111" s="199"/>
      <c r="E111" s="168" t="s">
        <v>1387</v>
      </c>
      <c r="F111" s="603">
        <v>6</v>
      </c>
      <c r="G111" s="62"/>
      <c r="H111" s="83"/>
    </row>
    <row r="112" spans="1:8" customFormat="1" ht="25.5">
      <c r="A112" s="34"/>
      <c r="B112" s="73"/>
      <c r="C112" s="198"/>
      <c r="D112" s="199">
        <v>9202250111</v>
      </c>
      <c r="E112" s="71" t="s">
        <v>743</v>
      </c>
      <c r="F112" s="61"/>
      <c r="G112" s="62" t="s">
        <v>33</v>
      </c>
      <c r="H112" s="83">
        <v>3</v>
      </c>
    </row>
    <row r="113" spans="1:8" customFormat="1" ht="15">
      <c r="A113" s="34"/>
      <c r="B113" s="125"/>
      <c r="C113" s="125"/>
      <c r="D113" s="601"/>
      <c r="E113" s="168" t="s">
        <v>1383</v>
      </c>
      <c r="F113" s="603">
        <v>1</v>
      </c>
      <c r="G113" s="32"/>
      <c r="H113" s="83"/>
    </row>
    <row r="114" spans="1:8" customFormat="1" ht="15">
      <c r="A114" s="34"/>
      <c r="B114" s="125"/>
      <c r="C114" s="125"/>
      <c r="D114" s="601"/>
      <c r="E114" s="168" t="s">
        <v>1385</v>
      </c>
      <c r="F114" s="603">
        <v>1</v>
      </c>
      <c r="G114" s="32"/>
      <c r="H114" s="83"/>
    </row>
    <row r="115" spans="1:8" customFormat="1" ht="15">
      <c r="A115" s="34"/>
      <c r="B115" s="125"/>
      <c r="C115" s="125"/>
      <c r="D115" s="601"/>
      <c r="E115" s="168" t="s">
        <v>2770</v>
      </c>
      <c r="F115" s="705">
        <v>1</v>
      </c>
      <c r="G115" s="32"/>
      <c r="H115" s="83"/>
    </row>
    <row r="116" spans="1:8" customFormat="1" ht="15">
      <c r="A116" s="34"/>
      <c r="B116" s="125"/>
      <c r="C116" s="125"/>
      <c r="D116" s="601"/>
      <c r="E116" s="168" t="s">
        <v>1130</v>
      </c>
      <c r="F116" s="706">
        <f>SUM(F113:F115)</f>
        <v>3</v>
      </c>
      <c r="G116" s="32"/>
      <c r="H116" s="83"/>
    </row>
    <row r="117" spans="1:8" customFormat="1" ht="15">
      <c r="A117" s="34"/>
      <c r="B117" s="125"/>
      <c r="C117" s="125"/>
      <c r="D117" s="601"/>
      <c r="E117" s="168"/>
      <c r="F117" s="603"/>
      <c r="G117" s="32"/>
      <c r="H117" s="83"/>
    </row>
    <row r="118" spans="1:8" customFormat="1" ht="25.5">
      <c r="A118" s="34">
        <f>MAX(A$1:A117)+1</f>
        <v>22</v>
      </c>
      <c r="B118" s="43"/>
      <c r="C118" s="195">
        <v>92022705</v>
      </c>
      <c r="D118" s="196"/>
      <c r="E118" s="38" t="s">
        <v>2784</v>
      </c>
      <c r="F118" s="39"/>
      <c r="G118" s="40" t="s">
        <v>33</v>
      </c>
      <c r="H118" s="64">
        <v>3</v>
      </c>
    </row>
    <row r="119" spans="1:8" customFormat="1" ht="25.5">
      <c r="A119" s="34"/>
      <c r="B119" s="125"/>
      <c r="C119" s="125"/>
      <c r="D119" s="198">
        <v>9202270506</v>
      </c>
      <c r="E119" s="71" t="s">
        <v>2785</v>
      </c>
      <c r="F119" s="61"/>
      <c r="G119" s="62" t="s">
        <v>33</v>
      </c>
      <c r="H119" s="83">
        <v>3</v>
      </c>
    </row>
    <row r="120" spans="1:8" customFormat="1" ht="15">
      <c r="A120" s="34"/>
      <c r="B120" s="125"/>
      <c r="C120" s="125"/>
      <c r="D120" s="601"/>
      <c r="E120" s="168" t="s">
        <v>2786</v>
      </c>
      <c r="F120" s="603">
        <v>1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2866</v>
      </c>
      <c r="F121" s="603">
        <v>1</v>
      </c>
      <c r="G121" s="32"/>
      <c r="H121" s="83"/>
    </row>
    <row r="122" spans="1:8" customFormat="1" ht="15">
      <c r="A122" s="34"/>
      <c r="B122" s="125"/>
      <c r="C122" s="125"/>
      <c r="D122" s="601"/>
      <c r="E122" s="168" t="s">
        <v>2787</v>
      </c>
      <c r="F122" s="705">
        <v>1</v>
      </c>
      <c r="G122" s="32"/>
      <c r="H122" s="83"/>
    </row>
    <row r="123" spans="1:8" customFormat="1" ht="15">
      <c r="A123" s="34"/>
      <c r="B123" s="125"/>
      <c r="C123" s="125"/>
      <c r="D123" s="601"/>
      <c r="E123" s="168" t="s">
        <v>1130</v>
      </c>
      <c r="F123" s="706">
        <f>SUM(F120:F122)</f>
        <v>3</v>
      </c>
      <c r="G123" s="32"/>
      <c r="H123" s="83"/>
    </row>
    <row r="124" spans="1:8" customFormat="1" ht="15">
      <c r="A124" s="34"/>
      <c r="B124" s="125"/>
      <c r="C124" s="125"/>
      <c r="D124" s="601"/>
      <c r="E124" s="168"/>
      <c r="F124" s="603"/>
      <c r="G124" s="32"/>
      <c r="H124" s="83"/>
    </row>
    <row r="125" spans="1:8" customFormat="1" ht="25.5">
      <c r="A125" s="34">
        <f>MAX(A$1:A124)+1</f>
        <v>23</v>
      </c>
      <c r="B125" s="43"/>
      <c r="C125" s="195">
        <v>92022801</v>
      </c>
      <c r="D125" s="196"/>
      <c r="E125" s="38" t="s">
        <v>2867</v>
      </c>
      <c r="F125" s="39"/>
      <c r="G125" s="40" t="s">
        <v>36</v>
      </c>
      <c r="H125" s="64">
        <v>3</v>
      </c>
    </row>
    <row r="126" spans="1:8" customFormat="1" ht="25.5">
      <c r="A126" s="34"/>
      <c r="B126" s="73"/>
      <c r="C126" s="198"/>
      <c r="D126" s="199">
        <v>9202280104</v>
      </c>
      <c r="E126" s="71" t="s">
        <v>2868</v>
      </c>
      <c r="F126" s="61"/>
      <c r="G126" s="62" t="s">
        <v>33</v>
      </c>
      <c r="H126" s="83">
        <v>3</v>
      </c>
    </row>
    <row r="127" spans="1:8" customFormat="1" ht="15">
      <c r="A127" s="34"/>
      <c r="B127" s="125"/>
      <c r="C127" s="125"/>
      <c r="D127" s="601"/>
      <c r="E127" s="168" t="s">
        <v>2869</v>
      </c>
      <c r="F127" s="603">
        <v>1</v>
      </c>
      <c r="G127" s="32"/>
      <c r="H127" s="83"/>
    </row>
    <row r="128" spans="1:8" customFormat="1" ht="15">
      <c r="A128" s="34"/>
      <c r="B128" s="125"/>
      <c r="C128" s="125"/>
      <c r="D128" s="601"/>
      <c r="E128" s="168" t="s">
        <v>2870</v>
      </c>
      <c r="F128" s="705">
        <v>2</v>
      </c>
      <c r="G128" s="32"/>
      <c r="H128" s="83"/>
    </row>
    <row r="129" spans="1:8" customFormat="1" ht="15">
      <c r="A129" s="34"/>
      <c r="B129" s="125"/>
      <c r="C129" s="125"/>
      <c r="D129" s="601"/>
      <c r="E129" s="168" t="s">
        <v>1130</v>
      </c>
      <c r="F129" s="706">
        <f>SUM(F126:F128)</f>
        <v>3</v>
      </c>
      <c r="G129" s="32"/>
      <c r="H129" s="83"/>
    </row>
    <row r="130" spans="1:8" customFormat="1" ht="15">
      <c r="A130" s="34"/>
      <c r="B130" s="125"/>
      <c r="C130" s="125"/>
      <c r="D130" s="601"/>
      <c r="E130" s="168"/>
      <c r="F130" s="603"/>
      <c r="G130" s="32"/>
      <c r="H130" s="83"/>
    </row>
    <row r="131" spans="1:8" customFormat="1" ht="25.5">
      <c r="A131" s="34">
        <f>MAX(A$1:A130)+1</f>
        <v>24</v>
      </c>
      <c r="B131" s="43"/>
      <c r="C131" s="195">
        <v>92022901</v>
      </c>
      <c r="D131" s="196"/>
      <c r="E131" s="38" t="s">
        <v>2871</v>
      </c>
      <c r="F131" s="39"/>
      <c r="G131" s="40" t="s">
        <v>36</v>
      </c>
      <c r="H131" s="64">
        <v>25.5</v>
      </c>
    </row>
    <row r="132" spans="1:8" customFormat="1" ht="25.5">
      <c r="A132" s="34"/>
      <c r="B132" s="73"/>
      <c r="C132" s="198"/>
      <c r="D132" s="199">
        <v>9202290101</v>
      </c>
      <c r="E132" s="71" t="s">
        <v>2872</v>
      </c>
      <c r="F132" s="61"/>
      <c r="G132" s="62" t="s">
        <v>36</v>
      </c>
      <c r="H132" s="83">
        <v>13.5</v>
      </c>
    </row>
    <row r="133" spans="1:8" customFormat="1" ht="15">
      <c r="A133" s="34"/>
      <c r="B133" s="73"/>
      <c r="C133" s="198"/>
      <c r="D133" s="199"/>
      <c r="E133" s="168" t="s">
        <v>2873</v>
      </c>
      <c r="F133" s="603">
        <v>13.5</v>
      </c>
      <c r="G133" s="62"/>
      <c r="H133" s="83"/>
    </row>
    <row r="134" spans="1:8" customFormat="1" ht="25.5">
      <c r="A134" s="34"/>
      <c r="B134" s="73"/>
      <c r="C134" s="198"/>
      <c r="D134" s="199">
        <v>9202290102</v>
      </c>
      <c r="E134" s="71" t="s">
        <v>2874</v>
      </c>
      <c r="F134" s="61"/>
      <c r="G134" s="62" t="s">
        <v>36</v>
      </c>
      <c r="H134" s="83">
        <v>12</v>
      </c>
    </row>
    <row r="135" spans="1:8" customFormat="1" ht="15">
      <c r="A135" s="34"/>
      <c r="B135" s="43"/>
      <c r="C135" s="195"/>
      <c r="D135" s="196"/>
      <c r="E135" s="168" t="s">
        <v>2875</v>
      </c>
      <c r="F135" s="603">
        <v>12</v>
      </c>
      <c r="G135" s="40"/>
      <c r="H135" s="83"/>
    </row>
    <row r="136" spans="1:8" customFormat="1" ht="15">
      <c r="A136" s="34"/>
      <c r="B136" s="43"/>
      <c r="C136" s="195"/>
      <c r="D136" s="196"/>
      <c r="E136" s="38"/>
      <c r="F136" s="39"/>
      <c r="G136" s="40"/>
      <c r="H136" s="83"/>
    </row>
    <row r="137" spans="1:8" customFormat="1" ht="25.5">
      <c r="A137" s="34">
        <f>MAX(A$1:A136)+1</f>
        <v>25</v>
      </c>
      <c r="B137" s="43"/>
      <c r="C137" s="195">
        <v>92050303</v>
      </c>
      <c r="D137" s="196"/>
      <c r="E137" s="38" t="s">
        <v>2876</v>
      </c>
      <c r="F137" s="39"/>
      <c r="G137" s="40" t="s">
        <v>33</v>
      </c>
      <c r="H137" s="64">
        <v>1</v>
      </c>
    </row>
    <row r="138" spans="1:8" customFormat="1" ht="25.5">
      <c r="A138" s="34"/>
      <c r="B138" s="73"/>
      <c r="C138" s="198"/>
      <c r="D138" s="199">
        <v>9205030302</v>
      </c>
      <c r="E138" s="71" t="s">
        <v>2877</v>
      </c>
      <c r="F138" s="61"/>
      <c r="G138" s="62" t="s">
        <v>33</v>
      </c>
      <c r="H138" s="83">
        <v>1</v>
      </c>
    </row>
    <row r="139" spans="1:8" customFormat="1" ht="15">
      <c r="A139" s="34"/>
      <c r="B139" s="43"/>
      <c r="C139" s="195"/>
      <c r="D139" s="196"/>
      <c r="E139" s="168" t="s">
        <v>2878</v>
      </c>
      <c r="F139" s="603">
        <v>1</v>
      </c>
      <c r="G139" s="40"/>
      <c r="H139" s="83"/>
    </row>
    <row r="140" spans="1:8" customFormat="1" ht="15">
      <c r="A140" s="34"/>
      <c r="B140" s="43"/>
      <c r="C140" s="195"/>
      <c r="D140" s="196"/>
      <c r="E140" s="38"/>
      <c r="F140" s="39"/>
      <c r="G140" s="40"/>
      <c r="H140" s="83"/>
    </row>
    <row r="141" spans="1:8" customFormat="1" ht="25.5">
      <c r="A141" s="34">
        <f>MAX(A$1:A140)+1</f>
        <v>26</v>
      </c>
      <c r="B141" s="43"/>
      <c r="C141" s="195">
        <v>92050308</v>
      </c>
      <c r="D141" s="196"/>
      <c r="E141" s="38" t="s">
        <v>2879</v>
      </c>
      <c r="F141" s="39"/>
      <c r="G141" s="40" t="s">
        <v>33</v>
      </c>
      <c r="H141" s="64">
        <v>1</v>
      </c>
    </row>
    <row r="142" spans="1:8" customFormat="1" ht="25.5">
      <c r="A142" s="72"/>
      <c r="B142" s="73"/>
      <c r="C142" s="198"/>
      <c r="D142" s="199">
        <v>9205030802</v>
      </c>
      <c r="E142" s="71" t="s">
        <v>2880</v>
      </c>
      <c r="F142" s="61"/>
      <c r="G142" s="62" t="s">
        <v>33</v>
      </c>
      <c r="H142" s="83">
        <v>1</v>
      </c>
    </row>
    <row r="143" spans="1:8" customFormat="1" ht="15">
      <c r="A143" s="72"/>
      <c r="B143" s="43"/>
      <c r="C143" s="195"/>
      <c r="D143" s="196"/>
      <c r="E143" s="168" t="s">
        <v>2881</v>
      </c>
      <c r="F143" s="603">
        <v>1</v>
      </c>
      <c r="G143" s="40"/>
      <c r="H143" s="83"/>
    </row>
    <row r="144" spans="1:8" customFormat="1" ht="15">
      <c r="A144" s="34"/>
      <c r="B144" s="35"/>
      <c r="C144" s="35"/>
      <c r="D144" s="94"/>
      <c r="E144" s="168"/>
      <c r="F144" s="706"/>
      <c r="G144" s="97"/>
      <c r="H144" s="42"/>
    </row>
    <row r="145" spans="1:8" customFormat="1" ht="15">
      <c r="A145" s="34"/>
      <c r="B145" s="35"/>
      <c r="C145" s="35"/>
      <c r="D145" s="94"/>
      <c r="E145" s="50"/>
      <c r="F145" s="100"/>
      <c r="G145" s="97"/>
      <c r="H145" s="42"/>
    </row>
    <row r="146" spans="1:8" customFormat="1" ht="15.75" thickBot="1">
      <c r="A146" s="459"/>
      <c r="B146" s="460"/>
      <c r="C146" s="391"/>
      <c r="D146" s="461"/>
      <c r="E146" s="462"/>
      <c r="F146" s="524"/>
      <c r="G146" s="525"/>
      <c r="H146" s="574"/>
    </row>
    <row r="147" spans="1:8" customFormat="1" ht="24.75" customHeight="1">
      <c r="A147" s="526"/>
      <c r="B147" s="527"/>
      <c r="C147" s="344"/>
      <c r="D147" s="519"/>
      <c r="E147" s="129"/>
      <c r="F147" s="131"/>
      <c r="G147" s="326"/>
      <c r="H147" s="528"/>
    </row>
  </sheetData>
  <sheetProtection algorithmName="SHA-512" hashValue="JZBgZymCv8+NDtBn/tmsn0kkV358LJ8gW76yfjPIeF2qMxajDCcS8kLqaqg+iblaLxt6t/WfJtRP+JgBYq4x8Q==" saltValue="xvn+4q73kKU24LRebhij0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F7888-14E4-488E-80DC-FFB5BAFB09EE}">
  <sheetPr codeName="Hárok42"/>
  <dimension ref="A1:J15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2883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F37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2729</v>
      </c>
      <c r="D18" s="1244"/>
      <c r="E18" s="1245" t="s">
        <v>2730</v>
      </c>
      <c r="F18" s="1246"/>
      <c r="G18" s="31" t="s">
        <v>33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2845</v>
      </c>
      <c r="D21" s="1257"/>
      <c r="E21" s="38" t="s">
        <v>2846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2847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2848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2849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158</v>
      </c>
      <c r="D31" s="37"/>
      <c r="E31" s="38" t="s">
        <v>159</v>
      </c>
      <c r="F31" s="39"/>
      <c r="G31" s="40" t="s">
        <v>18</v>
      </c>
      <c r="H31" s="64">
        <v>0.2</v>
      </c>
    </row>
    <row r="32" spans="1:8" customFormat="1" ht="15">
      <c r="A32" s="34"/>
      <c r="B32" s="31"/>
      <c r="C32" s="31"/>
      <c r="D32" s="67" t="s">
        <v>160</v>
      </c>
      <c r="E32" s="71" t="s">
        <v>161</v>
      </c>
      <c r="F32" s="61"/>
      <c r="G32" s="62" t="s">
        <v>18</v>
      </c>
      <c r="H32" s="83">
        <v>0.2</v>
      </c>
    </row>
    <row r="33" spans="1:8" customFormat="1" ht="15">
      <c r="A33" s="34"/>
      <c r="B33" s="31"/>
      <c r="C33" s="31"/>
      <c r="D33" s="67"/>
      <c r="E33" s="168" t="s">
        <v>2884</v>
      </c>
      <c r="F33" s="170">
        <f>3*0.35*0.19</f>
        <v>0.19949999999999996</v>
      </c>
      <c r="G33" s="62"/>
      <c r="H33" s="83"/>
    </row>
    <row r="34" spans="1:8" customFormat="1" ht="15">
      <c r="A34" s="34"/>
      <c r="B34" s="125"/>
      <c r="C34" s="125"/>
      <c r="D34" s="601"/>
      <c r="E34" s="168"/>
      <c r="F34" s="603"/>
      <c r="G34" s="32"/>
      <c r="H34" s="83"/>
    </row>
    <row r="35" spans="1:8" customFormat="1" ht="15">
      <c r="A35" s="34">
        <f>MAX(A$1:A34)+1</f>
        <v>8</v>
      </c>
      <c r="B35" s="31"/>
      <c r="C35" s="36" t="s">
        <v>58</v>
      </c>
      <c r="D35" s="248"/>
      <c r="E35" s="38" t="s">
        <v>59</v>
      </c>
      <c r="F35" s="78"/>
      <c r="G35" s="40" t="s">
        <v>18</v>
      </c>
      <c r="H35" s="64">
        <v>2.3199999999999998</v>
      </c>
    </row>
    <row r="36" spans="1:8" customFormat="1" ht="15">
      <c r="A36" s="145"/>
      <c r="B36" s="31"/>
      <c r="C36" s="66"/>
      <c r="D36" s="242" t="s">
        <v>60</v>
      </c>
      <c r="E36" s="71" t="s">
        <v>61</v>
      </c>
      <c r="F36" s="28"/>
      <c r="G36" s="62" t="s">
        <v>18</v>
      </c>
      <c r="H36" s="83">
        <v>2.3199999999999998</v>
      </c>
    </row>
    <row r="37" spans="1:8" customFormat="1" ht="15">
      <c r="A37" s="145"/>
      <c r="B37" s="31"/>
      <c r="C37" s="66"/>
      <c r="D37" s="242"/>
      <c r="E37" s="157" t="s">
        <v>2741</v>
      </c>
      <c r="F37" s="144">
        <f>F49</f>
        <v>2.3240000000000003</v>
      </c>
      <c r="G37" s="62"/>
      <c r="H37" s="83"/>
    </row>
    <row r="38" spans="1:8" customFormat="1" ht="15">
      <c r="A38" s="145"/>
      <c r="B38" s="31"/>
      <c r="C38" s="66"/>
      <c r="D38" s="242"/>
      <c r="E38" s="157"/>
      <c r="F38" s="144"/>
      <c r="G38" s="62"/>
      <c r="H38" s="83"/>
    </row>
    <row r="39" spans="1:8" customFormat="1" ht="15">
      <c r="A39" s="34">
        <f>MAX(A$1:A38)+1</f>
        <v>9</v>
      </c>
      <c r="B39" s="31"/>
      <c r="C39" s="36" t="s">
        <v>78</v>
      </c>
      <c r="D39" s="37"/>
      <c r="E39" s="38" t="s">
        <v>79</v>
      </c>
      <c r="F39" s="39"/>
      <c r="G39" s="40" t="s">
        <v>18</v>
      </c>
      <c r="H39" s="64">
        <v>0.2</v>
      </c>
    </row>
    <row r="40" spans="1:8" customFormat="1" ht="15">
      <c r="A40" s="145"/>
      <c r="B40" s="31"/>
      <c r="C40" s="31"/>
      <c r="D40" s="67" t="s">
        <v>80</v>
      </c>
      <c r="E40" s="71" t="s">
        <v>81</v>
      </c>
      <c r="F40" s="61"/>
      <c r="G40" s="62" t="s">
        <v>18</v>
      </c>
      <c r="H40" s="83">
        <v>0.2</v>
      </c>
    </row>
    <row r="41" spans="1:8" customFormat="1" ht="15">
      <c r="A41" s="145"/>
      <c r="B41" s="31"/>
      <c r="C41" s="31"/>
      <c r="D41" s="32"/>
      <c r="E41" s="168" t="s">
        <v>2884</v>
      </c>
      <c r="F41" s="170">
        <f>3*0.35*0.19</f>
        <v>0.19949999999999996</v>
      </c>
      <c r="G41" s="29"/>
      <c r="H41" s="83"/>
    </row>
    <row r="42" spans="1:8" customFormat="1" ht="15">
      <c r="A42" s="145"/>
      <c r="B42" s="31"/>
      <c r="C42" s="66"/>
      <c r="D42" s="242"/>
      <c r="E42" s="157"/>
      <c r="F42" s="144"/>
      <c r="G42" s="62"/>
      <c r="H42" s="83"/>
    </row>
    <row r="43" spans="1:8" customFormat="1" ht="15">
      <c r="A43" s="34">
        <f>MAX(A$1:A42)+1</f>
        <v>10</v>
      </c>
      <c r="B43" s="31"/>
      <c r="C43" s="36" t="s">
        <v>472</v>
      </c>
      <c r="D43" s="248"/>
      <c r="E43" s="38" t="s">
        <v>473</v>
      </c>
      <c r="F43" s="78"/>
      <c r="G43" s="40" t="s">
        <v>18</v>
      </c>
      <c r="H43" s="64">
        <v>0.11</v>
      </c>
    </row>
    <row r="44" spans="1:8" customFormat="1" ht="15">
      <c r="A44" s="145"/>
      <c r="B44" s="31"/>
      <c r="C44" s="66"/>
      <c r="D44" s="67" t="s">
        <v>2745</v>
      </c>
      <c r="E44" s="71" t="s">
        <v>2746</v>
      </c>
      <c r="F44" s="61"/>
      <c r="G44" s="62" t="s">
        <v>18</v>
      </c>
      <c r="H44" s="83">
        <v>0.11</v>
      </c>
    </row>
    <row r="45" spans="1:8" customFormat="1" ht="15">
      <c r="A45" s="145"/>
      <c r="B45" s="31"/>
      <c r="C45" s="66"/>
      <c r="D45" s="242"/>
      <c r="E45" s="157" t="s">
        <v>2885</v>
      </c>
      <c r="F45" s="144">
        <f>3*0.35*0.1</f>
        <v>0.10499999999999998</v>
      </c>
      <c r="G45" s="62"/>
      <c r="H45" s="83"/>
    </row>
    <row r="46" spans="1:8" customFormat="1" ht="15">
      <c r="A46" s="145"/>
      <c r="B46" s="31"/>
      <c r="C46" s="31"/>
      <c r="D46" s="32"/>
      <c r="E46" s="168"/>
      <c r="F46" s="603"/>
      <c r="G46" s="29"/>
      <c r="H46" s="83"/>
    </row>
    <row r="47" spans="1:8" customFormat="1" ht="15">
      <c r="A47" s="34">
        <f>MAX(A$1:A46)+1</f>
        <v>11</v>
      </c>
      <c r="B47" s="43"/>
      <c r="C47" s="36" t="s">
        <v>50</v>
      </c>
      <c r="D47" s="37"/>
      <c r="E47" s="38" t="s">
        <v>51</v>
      </c>
      <c r="F47" s="39"/>
      <c r="G47" s="40" t="s">
        <v>18</v>
      </c>
      <c r="H47" s="64">
        <v>2.3199999999999998</v>
      </c>
    </row>
    <row r="48" spans="1:8" customFormat="1" ht="25.5">
      <c r="A48" s="72"/>
      <c r="B48" s="73"/>
      <c r="C48" s="66"/>
      <c r="D48" s="67" t="s">
        <v>138</v>
      </c>
      <c r="E48" s="71" t="s">
        <v>139</v>
      </c>
      <c r="F48" s="61"/>
      <c r="G48" s="62" t="s">
        <v>18</v>
      </c>
      <c r="H48" s="83">
        <v>2.3199999999999998</v>
      </c>
    </row>
    <row r="49" spans="1:8" customFormat="1" ht="25.5">
      <c r="A49" s="34"/>
      <c r="B49" s="31"/>
      <c r="C49" s="31"/>
      <c r="D49" s="32"/>
      <c r="E49" s="168" t="s">
        <v>2850</v>
      </c>
      <c r="F49" s="170">
        <f>(1.3*1*1)+(0.3*1.6*1.6)+(1.6*1.6*0.1)</f>
        <v>2.3240000000000003</v>
      </c>
      <c r="G49" s="29"/>
      <c r="H49" s="83"/>
    </row>
    <row r="50" spans="1:8" customFormat="1" ht="15">
      <c r="A50" s="145"/>
      <c r="B50" s="31"/>
      <c r="C50" s="31"/>
      <c r="D50" s="32"/>
      <c r="E50" s="168"/>
      <c r="F50" s="172"/>
      <c r="G50" s="29"/>
      <c r="H50" s="83"/>
    </row>
    <row r="51" spans="1:8" customFormat="1" ht="15">
      <c r="A51" s="145"/>
      <c r="B51" s="35" t="s">
        <v>2749</v>
      </c>
      <c r="C51" s="35"/>
      <c r="D51" s="94"/>
      <c r="E51" s="50" t="s">
        <v>2750</v>
      </c>
      <c r="F51" s="28"/>
      <c r="G51" s="29"/>
      <c r="H51" s="83"/>
    </row>
    <row r="52" spans="1:8" customFormat="1" ht="15">
      <c r="A52" s="145"/>
      <c r="B52" s="31"/>
      <c r="C52" s="31"/>
      <c r="D52" s="32"/>
      <c r="E52" s="33"/>
      <c r="F52" s="28"/>
      <c r="G52" s="29"/>
      <c r="H52" s="83"/>
    </row>
    <row r="53" spans="1:8" customFormat="1" ht="15">
      <c r="A53" s="34">
        <f>MAX(A$1:A52)+1</f>
        <v>12</v>
      </c>
      <c r="B53" s="31"/>
      <c r="C53" s="36" t="s">
        <v>418</v>
      </c>
      <c r="D53" s="37"/>
      <c r="E53" s="38" t="s">
        <v>419</v>
      </c>
      <c r="F53" s="39"/>
      <c r="G53" s="40" t="s">
        <v>18</v>
      </c>
      <c r="H53" s="64">
        <v>2.3199999999999998</v>
      </c>
    </row>
    <row r="54" spans="1:8" customFormat="1" ht="15">
      <c r="A54" s="145"/>
      <c r="B54" s="31"/>
      <c r="C54" s="31"/>
      <c r="D54" s="191" t="s">
        <v>2751</v>
      </c>
      <c r="E54" s="193" t="s">
        <v>2752</v>
      </c>
      <c r="F54" s="192"/>
      <c r="G54" s="32" t="s">
        <v>18</v>
      </c>
      <c r="H54" s="83">
        <v>2.3199999999999998</v>
      </c>
    </row>
    <row r="55" spans="1:8" customFormat="1" ht="25.5">
      <c r="A55" s="145"/>
      <c r="B55" s="31"/>
      <c r="C55" s="31"/>
      <c r="D55" s="32"/>
      <c r="E55" s="157" t="s">
        <v>2849</v>
      </c>
      <c r="F55" s="603">
        <f xml:space="preserve"> (1.3*1*1)+(0.3*1.6*1.6)+(1.6*1.6*0.1)</f>
        <v>2.3240000000000003</v>
      </c>
      <c r="G55" s="29"/>
      <c r="H55" s="83"/>
    </row>
    <row r="56" spans="1:8" customFormat="1" ht="15">
      <c r="A56" s="145"/>
      <c r="B56" s="31"/>
      <c r="C56" s="31"/>
      <c r="D56" s="32"/>
      <c r="E56" s="33"/>
      <c r="F56" s="28"/>
      <c r="G56" s="29"/>
      <c r="H56" s="83"/>
    </row>
    <row r="57" spans="1:8" customFormat="1" ht="15">
      <c r="A57" s="34">
        <f>MAX(A$1:A56)+1</f>
        <v>13</v>
      </c>
      <c r="B57" s="31"/>
      <c r="C57" s="36" t="s">
        <v>2754</v>
      </c>
      <c r="D57" s="37"/>
      <c r="E57" s="38" t="s">
        <v>2755</v>
      </c>
      <c r="F57" s="39"/>
      <c r="G57" s="40" t="s">
        <v>21</v>
      </c>
      <c r="H57" s="64">
        <v>11.520000000000001</v>
      </c>
    </row>
    <row r="58" spans="1:8" customFormat="1" ht="15">
      <c r="A58" s="145"/>
      <c r="B58" s="31"/>
      <c r="C58" s="31"/>
      <c r="D58" s="67" t="s">
        <v>2756</v>
      </c>
      <c r="E58" s="71" t="s">
        <v>2757</v>
      </c>
      <c r="F58" s="61"/>
      <c r="G58" s="62" t="s">
        <v>21</v>
      </c>
      <c r="H58" s="83">
        <v>11.520000000000001</v>
      </c>
    </row>
    <row r="59" spans="1:8" customFormat="1" ht="15">
      <c r="A59" s="145"/>
      <c r="B59" s="31"/>
      <c r="C59" s="31"/>
      <c r="D59" s="32"/>
      <c r="E59" s="157" t="s">
        <v>2851</v>
      </c>
      <c r="F59" s="170">
        <f>((1.6*1.8)*4)</f>
        <v>11.520000000000001</v>
      </c>
      <c r="G59" s="29"/>
      <c r="H59" s="83"/>
    </row>
    <row r="60" spans="1:8" customFormat="1" ht="15">
      <c r="A60" s="145"/>
      <c r="B60" s="31"/>
      <c r="C60" s="31"/>
      <c r="D60" s="32"/>
      <c r="E60" s="168"/>
      <c r="F60" s="172"/>
      <c r="G60" s="29"/>
      <c r="H60" s="83"/>
    </row>
    <row r="61" spans="1:8" customFormat="1" ht="25.5">
      <c r="A61" s="178"/>
      <c r="B61" s="35" t="s">
        <v>270</v>
      </c>
      <c r="C61" s="35"/>
      <c r="D61" s="94"/>
      <c r="E61" s="50" t="s">
        <v>271</v>
      </c>
      <c r="F61" s="28"/>
      <c r="G61" s="29"/>
      <c r="H61" s="83"/>
    </row>
    <row r="62" spans="1:8" customFormat="1" ht="15">
      <c r="A62" s="178"/>
      <c r="B62" s="31"/>
      <c r="C62" s="31"/>
      <c r="D62" s="32"/>
      <c r="E62" s="33"/>
      <c r="F62" s="28"/>
      <c r="G62" s="29"/>
      <c r="H62" s="83"/>
    </row>
    <row r="63" spans="1:8" customFormat="1" ht="25.5">
      <c r="A63" s="34">
        <f>MAX(A$1:A62)+1</f>
        <v>14</v>
      </c>
      <c r="B63" s="31"/>
      <c r="C63" s="36" t="s">
        <v>576</v>
      </c>
      <c r="D63" s="37"/>
      <c r="E63" s="38" t="s">
        <v>577</v>
      </c>
      <c r="F63" s="39"/>
      <c r="G63" s="40" t="s">
        <v>36</v>
      </c>
      <c r="H63" s="64">
        <v>3</v>
      </c>
    </row>
    <row r="64" spans="1:8" customFormat="1" ht="25.5">
      <c r="A64" s="178"/>
      <c r="B64" s="31"/>
      <c r="C64" s="31"/>
      <c r="D64" s="67" t="s">
        <v>754</v>
      </c>
      <c r="E64" s="71" t="s">
        <v>755</v>
      </c>
      <c r="F64" s="61"/>
      <c r="G64" s="62" t="s">
        <v>36</v>
      </c>
      <c r="H64" s="83">
        <v>3</v>
      </c>
    </row>
    <row r="65" spans="1:8" customFormat="1" ht="15">
      <c r="A65" s="178"/>
      <c r="B65" s="31"/>
      <c r="C65" s="31"/>
      <c r="D65" s="32"/>
      <c r="E65" s="168" t="s">
        <v>2886</v>
      </c>
      <c r="F65" s="170">
        <v>3</v>
      </c>
      <c r="G65" s="29"/>
      <c r="H65" s="83"/>
    </row>
    <row r="66" spans="1:8" customFormat="1" ht="15">
      <c r="A66" s="145"/>
      <c r="B66" s="31"/>
      <c r="C66" s="31"/>
      <c r="D66" s="32"/>
      <c r="E66" s="168"/>
      <c r="F66" s="172"/>
      <c r="G66" s="32"/>
      <c r="H66" s="83"/>
    </row>
    <row r="67" spans="1:8" customFormat="1" ht="15">
      <c r="A67" s="95"/>
      <c r="B67" s="35" t="s">
        <v>621</v>
      </c>
      <c r="C67" s="35"/>
      <c r="D67" s="94"/>
      <c r="E67" s="50" t="s">
        <v>622</v>
      </c>
      <c r="F67" s="100"/>
      <c r="G67" s="97"/>
      <c r="H67" s="42"/>
    </row>
    <row r="68" spans="1:8" customFormat="1" ht="15">
      <c r="A68" s="34"/>
      <c r="B68" s="125"/>
      <c r="C68" s="125"/>
      <c r="D68" s="601"/>
      <c r="E68" s="193"/>
      <c r="F68" s="603"/>
      <c r="G68" s="32"/>
      <c r="H68" s="83"/>
    </row>
    <row r="69" spans="1:8" customFormat="1" ht="15">
      <c r="A69" s="34">
        <f>MAX(A$1:A68)+1</f>
        <v>15</v>
      </c>
      <c r="B69" s="43"/>
      <c r="C69" s="195">
        <v>92010101</v>
      </c>
      <c r="D69" s="196"/>
      <c r="E69" s="38" t="s">
        <v>2852</v>
      </c>
      <c r="F69" s="39"/>
      <c r="G69" s="40" t="s">
        <v>33</v>
      </c>
      <c r="H69" s="64">
        <v>1</v>
      </c>
    </row>
    <row r="70" spans="1:8" customFormat="1" ht="15">
      <c r="A70" s="34"/>
      <c r="B70" s="73"/>
      <c r="C70" s="198"/>
      <c r="D70" s="199">
        <v>9201010103</v>
      </c>
      <c r="E70" s="71" t="s">
        <v>2853</v>
      </c>
      <c r="F70" s="61"/>
      <c r="G70" s="62" t="s">
        <v>33</v>
      </c>
      <c r="H70" s="83">
        <v>1</v>
      </c>
    </row>
    <row r="71" spans="1:8" customFormat="1" ht="15">
      <c r="A71" s="34"/>
      <c r="B71" s="125"/>
      <c r="C71" s="125"/>
      <c r="D71" s="601"/>
      <c r="E71" s="168" t="s">
        <v>2854</v>
      </c>
      <c r="F71" s="603">
        <v>1</v>
      </c>
      <c r="G71" s="32"/>
      <c r="H71" s="83"/>
    </row>
    <row r="72" spans="1:8" customFormat="1" ht="15">
      <c r="A72" s="34"/>
      <c r="B72" s="125"/>
      <c r="C72" s="125"/>
      <c r="D72" s="601"/>
      <c r="E72" s="193"/>
      <c r="F72" s="603"/>
      <c r="G72" s="32"/>
      <c r="H72" s="83"/>
    </row>
    <row r="73" spans="1:8" customFormat="1" ht="15">
      <c r="A73" s="34">
        <f>MAX(A$1:A72)+1</f>
        <v>16</v>
      </c>
      <c r="B73" s="43"/>
      <c r="C73" s="195">
        <v>92010109</v>
      </c>
      <c r="D73" s="196"/>
      <c r="E73" s="38" t="s">
        <v>2855</v>
      </c>
      <c r="F73" s="39"/>
      <c r="G73" s="40" t="s">
        <v>33</v>
      </c>
      <c r="H73" s="64">
        <v>1</v>
      </c>
    </row>
    <row r="74" spans="1:8" customFormat="1" ht="15">
      <c r="A74" s="34"/>
      <c r="B74" s="73"/>
      <c r="C74" s="198"/>
      <c r="D74" s="199">
        <v>9201010902</v>
      </c>
      <c r="E74" s="71" t="s">
        <v>2856</v>
      </c>
      <c r="F74" s="61"/>
      <c r="G74" s="62" t="s">
        <v>33</v>
      </c>
      <c r="H74" s="83">
        <v>1</v>
      </c>
    </row>
    <row r="75" spans="1:8" customFormat="1" ht="15">
      <c r="A75" s="34"/>
      <c r="B75" s="125"/>
      <c r="C75" s="125"/>
      <c r="D75" s="601"/>
      <c r="E75" s="168" t="s">
        <v>2857</v>
      </c>
      <c r="F75" s="603">
        <v>1</v>
      </c>
      <c r="G75" s="32"/>
      <c r="H75" s="83"/>
    </row>
    <row r="76" spans="1:8" customFormat="1" ht="15">
      <c r="A76" s="34"/>
      <c r="B76" s="125"/>
      <c r="C76" s="125"/>
      <c r="D76" s="601"/>
      <c r="E76" s="193"/>
      <c r="F76" s="603"/>
      <c r="G76" s="32"/>
      <c r="H76" s="83"/>
    </row>
    <row r="77" spans="1:8" customFormat="1" ht="25.5">
      <c r="A77" s="34">
        <f>MAX(A$1:A76)+1</f>
        <v>17</v>
      </c>
      <c r="B77" s="43"/>
      <c r="C77" s="195">
        <v>92010204</v>
      </c>
      <c r="D77" s="196"/>
      <c r="E77" s="38" t="s">
        <v>2858</v>
      </c>
      <c r="F77" s="39"/>
      <c r="G77" s="40" t="s">
        <v>33</v>
      </c>
      <c r="H77" s="64">
        <v>2</v>
      </c>
    </row>
    <row r="78" spans="1:8" customFormat="1" ht="25.5">
      <c r="A78" s="34"/>
      <c r="B78" s="73"/>
      <c r="C78" s="198"/>
      <c r="D78" s="199">
        <v>9201020401</v>
      </c>
      <c r="E78" s="71" t="s">
        <v>2859</v>
      </c>
      <c r="F78" s="61"/>
      <c r="G78" s="62" t="s">
        <v>33</v>
      </c>
      <c r="H78" s="83">
        <v>2</v>
      </c>
    </row>
    <row r="79" spans="1:8" customFormat="1" ht="15">
      <c r="A79" s="34"/>
      <c r="B79" s="125"/>
      <c r="C79" s="125"/>
      <c r="D79" s="601"/>
      <c r="E79" s="168" t="s">
        <v>2860</v>
      </c>
      <c r="F79" s="603">
        <v>1</v>
      </c>
      <c r="G79" s="32"/>
      <c r="H79" s="83"/>
    </row>
    <row r="80" spans="1:8" customFormat="1" ht="15">
      <c r="A80" s="34"/>
      <c r="B80" s="125"/>
      <c r="C80" s="125"/>
      <c r="D80" s="601"/>
      <c r="E80" s="168" t="s">
        <v>2861</v>
      </c>
      <c r="F80" s="705">
        <v>1</v>
      </c>
      <c r="G80" s="32"/>
      <c r="H80" s="83"/>
    </row>
    <row r="81" spans="1:8" customFormat="1" ht="15">
      <c r="A81" s="34"/>
      <c r="B81" s="125"/>
      <c r="C81" s="125"/>
      <c r="D81" s="601"/>
      <c r="E81" s="168" t="s">
        <v>1130</v>
      </c>
      <c r="F81" s="706">
        <f>SUM(F78:F80)</f>
        <v>2</v>
      </c>
      <c r="G81" s="32"/>
      <c r="H81" s="83"/>
    </row>
    <row r="82" spans="1:8" customFormat="1" ht="15">
      <c r="A82" s="34"/>
      <c r="B82" s="125"/>
      <c r="C82" s="125"/>
      <c r="D82" s="601"/>
      <c r="E82" s="193"/>
      <c r="F82" s="603"/>
      <c r="G82" s="32"/>
      <c r="H82" s="83"/>
    </row>
    <row r="83" spans="1:8" customFormat="1" ht="25.5">
      <c r="A83" s="34">
        <f>MAX(A$1:A82)+1</f>
        <v>18</v>
      </c>
      <c r="B83" s="43"/>
      <c r="C83" s="195">
        <v>92010207</v>
      </c>
      <c r="D83" s="196"/>
      <c r="E83" s="38" t="s">
        <v>2862</v>
      </c>
      <c r="F83" s="39"/>
      <c r="G83" s="40" t="s">
        <v>33</v>
      </c>
      <c r="H83" s="64">
        <v>2</v>
      </c>
    </row>
    <row r="84" spans="1:8" customFormat="1" ht="25.5">
      <c r="A84" s="34"/>
      <c r="B84" s="73"/>
      <c r="C84" s="198"/>
      <c r="D84" s="199">
        <v>9201020702</v>
      </c>
      <c r="E84" s="71" t="s">
        <v>2863</v>
      </c>
      <c r="F84" s="61"/>
      <c r="G84" s="62" t="s">
        <v>33</v>
      </c>
      <c r="H84" s="83">
        <v>2</v>
      </c>
    </row>
    <row r="85" spans="1:8" customFormat="1" ht="15">
      <c r="A85" s="34"/>
      <c r="B85" s="125"/>
      <c r="C85" s="125"/>
      <c r="D85" s="601"/>
      <c r="E85" s="168" t="s">
        <v>2864</v>
      </c>
      <c r="F85" s="603">
        <v>1</v>
      </c>
      <c r="G85" s="32"/>
      <c r="H85" s="83"/>
    </row>
    <row r="86" spans="1:8" customFormat="1" ht="15">
      <c r="A86" s="34"/>
      <c r="B86" s="125"/>
      <c r="C86" s="125"/>
      <c r="D86" s="601"/>
      <c r="E86" s="168" t="s">
        <v>2865</v>
      </c>
      <c r="F86" s="705">
        <v>1</v>
      </c>
      <c r="G86" s="32"/>
      <c r="H86" s="83"/>
    </row>
    <row r="87" spans="1:8" customFormat="1" ht="15">
      <c r="A87" s="34"/>
      <c r="B87" s="125"/>
      <c r="C87" s="125"/>
      <c r="D87" s="601"/>
      <c r="E87" s="168" t="s">
        <v>1130</v>
      </c>
      <c r="F87" s="706">
        <f>SUM(F84:F86)</f>
        <v>2</v>
      </c>
      <c r="G87" s="32"/>
      <c r="H87" s="83"/>
    </row>
    <row r="88" spans="1:8" customFormat="1" ht="15">
      <c r="A88" s="34"/>
      <c r="B88" s="12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19</v>
      </c>
      <c r="B89" s="43"/>
      <c r="C89" s="195">
        <v>92020102</v>
      </c>
      <c r="D89" s="196"/>
      <c r="E89" s="38" t="s">
        <v>756</v>
      </c>
      <c r="F89" s="39"/>
      <c r="G89" s="40" t="s">
        <v>36</v>
      </c>
      <c r="H89" s="64">
        <v>65</v>
      </c>
    </row>
    <row r="90" spans="1:8" customFormat="1" ht="25.5">
      <c r="A90" s="34"/>
      <c r="B90" s="73"/>
      <c r="C90" s="198"/>
      <c r="D90" s="199">
        <v>9202010205</v>
      </c>
      <c r="E90" s="71" t="s">
        <v>757</v>
      </c>
      <c r="F90" s="61"/>
      <c r="G90" s="62" t="s">
        <v>36</v>
      </c>
      <c r="H90" s="83">
        <v>65</v>
      </c>
    </row>
    <row r="91" spans="1:8" customFormat="1" ht="15">
      <c r="A91" s="34"/>
      <c r="B91" s="125"/>
      <c r="C91" s="125"/>
      <c r="D91" s="601"/>
      <c r="E91" s="168" t="s">
        <v>1383</v>
      </c>
      <c r="F91" s="603">
        <v>65</v>
      </c>
      <c r="G91" s="32"/>
      <c r="H91" s="83"/>
    </row>
    <row r="92" spans="1:8" customFormat="1" ht="15">
      <c r="A92" s="34"/>
      <c r="B92" s="12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20</v>
      </c>
      <c r="B93" s="43"/>
      <c r="C93" s="195">
        <v>92020105</v>
      </c>
      <c r="D93" s="196"/>
      <c r="E93" s="38" t="s">
        <v>2768</v>
      </c>
      <c r="F93" s="39"/>
      <c r="G93" s="40" t="s">
        <v>36</v>
      </c>
      <c r="H93" s="64">
        <v>77</v>
      </c>
    </row>
    <row r="94" spans="1:8" customFormat="1" ht="25.5">
      <c r="A94" s="34"/>
      <c r="B94" s="73"/>
      <c r="C94" s="198"/>
      <c r="D94" s="199">
        <v>9202010513</v>
      </c>
      <c r="E94" s="71" t="s">
        <v>2769</v>
      </c>
      <c r="F94" s="61"/>
      <c r="G94" s="62" t="s">
        <v>36</v>
      </c>
      <c r="H94" s="83">
        <v>77</v>
      </c>
    </row>
    <row r="95" spans="1:8" customFormat="1" ht="15">
      <c r="A95" s="34"/>
      <c r="B95" s="125"/>
      <c r="C95" s="125"/>
      <c r="D95" s="601"/>
      <c r="E95" s="168" t="s">
        <v>2887</v>
      </c>
      <c r="F95" s="603">
        <f>65+12</f>
        <v>77</v>
      </c>
      <c r="G95" s="32"/>
      <c r="H95" s="83"/>
    </row>
    <row r="96" spans="1:8" customFormat="1" ht="15">
      <c r="A96" s="34"/>
      <c r="B96" s="125"/>
      <c r="C96" s="125"/>
      <c r="D96" s="601"/>
      <c r="E96" s="168"/>
      <c r="F96" s="603"/>
      <c r="G96" s="32"/>
      <c r="H96" s="83"/>
    </row>
    <row r="97" spans="1:10" customFormat="1" ht="25.5">
      <c r="A97" s="34">
        <f>MAX(A$1:A96)+1</f>
        <v>21</v>
      </c>
      <c r="B97" s="43"/>
      <c r="C97" s="195">
        <v>92020301</v>
      </c>
      <c r="D97" s="196"/>
      <c r="E97" s="38" t="s">
        <v>476</v>
      </c>
      <c r="F97" s="39"/>
      <c r="G97" s="40" t="s">
        <v>33</v>
      </c>
      <c r="H97" s="64">
        <v>6</v>
      </c>
    </row>
    <row r="98" spans="1:10" customFormat="1" ht="25.5">
      <c r="A98" s="34"/>
      <c r="B98" s="73"/>
      <c r="C98" s="198"/>
      <c r="D98" s="199">
        <v>9202030101</v>
      </c>
      <c r="E98" s="71" t="s">
        <v>477</v>
      </c>
      <c r="F98" s="61"/>
      <c r="G98" s="62" t="s">
        <v>33</v>
      </c>
      <c r="H98" s="83">
        <v>2</v>
      </c>
      <c r="J98" s="208"/>
    </row>
    <row r="99" spans="1:10" customFormat="1" ht="15">
      <c r="A99" s="34"/>
      <c r="B99" s="125"/>
      <c r="C99" s="125"/>
      <c r="D99" s="601"/>
      <c r="E99" s="168" t="s">
        <v>1383</v>
      </c>
      <c r="F99" s="603">
        <v>2</v>
      </c>
      <c r="G99" s="32"/>
      <c r="H99" s="83"/>
    </row>
    <row r="100" spans="1:10" customFormat="1" ht="25.5">
      <c r="A100" s="34"/>
      <c r="B100" s="73"/>
      <c r="C100" s="198"/>
      <c r="D100" s="199">
        <v>9202030102</v>
      </c>
      <c r="E100" s="71" t="s">
        <v>490</v>
      </c>
      <c r="F100" s="61"/>
      <c r="G100" s="62" t="s">
        <v>33</v>
      </c>
      <c r="H100" s="83">
        <v>4</v>
      </c>
    </row>
    <row r="101" spans="1:10" customFormat="1" ht="15">
      <c r="A101" s="34"/>
      <c r="B101" s="125"/>
      <c r="C101" s="125"/>
      <c r="D101" s="601"/>
      <c r="E101" s="168" t="s">
        <v>1385</v>
      </c>
      <c r="F101" s="603">
        <v>4</v>
      </c>
      <c r="G101" s="32"/>
      <c r="H101" s="83"/>
    </row>
    <row r="102" spans="1:10" customFormat="1" ht="15">
      <c r="A102" s="34"/>
      <c r="B102" s="125"/>
      <c r="C102" s="125"/>
      <c r="D102" s="601"/>
      <c r="E102" s="168"/>
      <c r="F102" s="603"/>
      <c r="G102" s="32"/>
      <c r="H102" s="83"/>
    </row>
    <row r="103" spans="1:10" customFormat="1" ht="25.5">
      <c r="A103" s="34">
        <f>MAX(A$1:A102)+1</f>
        <v>22</v>
      </c>
      <c r="B103" s="43"/>
      <c r="C103" s="195">
        <v>92020702</v>
      </c>
      <c r="D103" s="196"/>
      <c r="E103" s="38" t="s">
        <v>718</v>
      </c>
      <c r="F103" s="39"/>
      <c r="G103" s="40" t="s">
        <v>33</v>
      </c>
      <c r="H103" s="64">
        <v>7</v>
      </c>
    </row>
    <row r="104" spans="1:10" customFormat="1" ht="25.5">
      <c r="A104" s="34"/>
      <c r="B104" s="73"/>
      <c r="C104" s="198"/>
      <c r="D104" s="199">
        <v>9202070202</v>
      </c>
      <c r="E104" s="71" t="s">
        <v>719</v>
      </c>
      <c r="F104" s="61"/>
      <c r="G104" s="62" t="s">
        <v>33</v>
      </c>
      <c r="H104" s="83">
        <v>7</v>
      </c>
    </row>
    <row r="105" spans="1:10" customFormat="1" ht="15">
      <c r="A105" s="34"/>
      <c r="B105" s="125"/>
      <c r="C105" s="125"/>
      <c r="D105" s="601"/>
      <c r="E105" s="168" t="s">
        <v>1386</v>
      </c>
      <c r="F105" s="603">
        <v>7</v>
      </c>
      <c r="G105" s="32"/>
      <c r="H105" s="83"/>
    </row>
    <row r="106" spans="1:10" customFormat="1" ht="15">
      <c r="A106" s="34"/>
      <c r="B106" s="125"/>
      <c r="C106" s="125"/>
      <c r="D106" s="601"/>
      <c r="E106" s="168"/>
      <c r="F106" s="603"/>
      <c r="G106" s="32"/>
      <c r="H106" s="83"/>
    </row>
    <row r="107" spans="1:10" customFormat="1" ht="25.5">
      <c r="A107" s="34">
        <f>MAX(A$1:A106)+1</f>
        <v>23</v>
      </c>
      <c r="B107" s="43"/>
      <c r="C107" s="195">
        <v>92022501</v>
      </c>
      <c r="D107" s="196"/>
      <c r="E107" s="38" t="s">
        <v>478</v>
      </c>
      <c r="F107" s="39"/>
      <c r="G107" s="40" t="s">
        <v>33</v>
      </c>
      <c r="H107" s="64">
        <v>14</v>
      </c>
    </row>
    <row r="108" spans="1:10" customFormat="1" ht="25.5">
      <c r="A108" s="34"/>
      <c r="B108" s="73"/>
      <c r="C108" s="198"/>
      <c r="D108" s="199">
        <v>9202250101</v>
      </c>
      <c r="E108" s="71" t="s">
        <v>758</v>
      </c>
      <c r="F108" s="61"/>
      <c r="G108" s="62" t="s">
        <v>33</v>
      </c>
      <c r="H108" s="83">
        <v>2</v>
      </c>
    </row>
    <row r="109" spans="1:10" customFormat="1" ht="15">
      <c r="A109" s="34"/>
      <c r="B109" s="73"/>
      <c r="C109" s="198"/>
      <c r="D109" s="199"/>
      <c r="E109" s="168" t="s">
        <v>1383</v>
      </c>
      <c r="F109" s="603">
        <v>1</v>
      </c>
      <c r="G109" s="62"/>
      <c r="H109" s="83"/>
    </row>
    <row r="110" spans="1:10" customFormat="1" ht="15">
      <c r="A110" s="34"/>
      <c r="B110" s="73"/>
      <c r="C110" s="198"/>
      <c r="D110" s="199"/>
      <c r="E110" s="168" t="s">
        <v>1385</v>
      </c>
      <c r="F110" s="705">
        <v>1</v>
      </c>
      <c r="G110" s="62"/>
      <c r="H110" s="83"/>
    </row>
    <row r="111" spans="1:10" customFormat="1" ht="15">
      <c r="A111" s="34"/>
      <c r="B111" s="73"/>
      <c r="C111" s="198"/>
      <c r="D111" s="199"/>
      <c r="E111" s="168" t="s">
        <v>1130</v>
      </c>
      <c r="F111" s="706">
        <f>SUM(F109:F110)</f>
        <v>2</v>
      </c>
      <c r="G111" s="62"/>
      <c r="H111" s="83"/>
    </row>
    <row r="112" spans="1:10" customFormat="1" ht="25.5">
      <c r="A112" s="34"/>
      <c r="B112" s="73"/>
      <c r="C112" s="198"/>
      <c r="D112" s="199">
        <v>9202250102</v>
      </c>
      <c r="E112" s="71" t="s">
        <v>479</v>
      </c>
      <c r="F112" s="61"/>
      <c r="G112" s="62" t="s">
        <v>33</v>
      </c>
      <c r="H112" s="83">
        <v>3</v>
      </c>
    </row>
    <row r="113" spans="1:8" customFormat="1" ht="15">
      <c r="A113" s="34"/>
      <c r="B113" s="73"/>
      <c r="C113" s="198"/>
      <c r="D113" s="199"/>
      <c r="E113" s="168" t="s">
        <v>1383</v>
      </c>
      <c r="F113" s="603">
        <v>1</v>
      </c>
      <c r="G113" s="62"/>
      <c r="H113" s="83"/>
    </row>
    <row r="114" spans="1:8" customFormat="1" ht="15">
      <c r="A114" s="34"/>
      <c r="B114" s="73"/>
      <c r="C114" s="198"/>
      <c r="D114" s="199"/>
      <c r="E114" s="168" t="s">
        <v>1385</v>
      </c>
      <c r="F114" s="705">
        <v>2</v>
      </c>
      <c r="G114" s="62"/>
      <c r="H114" s="83"/>
    </row>
    <row r="115" spans="1:8" customFormat="1" ht="15">
      <c r="A115" s="34"/>
      <c r="B115" s="73"/>
      <c r="C115" s="198"/>
      <c r="D115" s="199"/>
      <c r="E115" s="168" t="s">
        <v>1130</v>
      </c>
      <c r="F115" s="706">
        <f>SUM(F113:F114)</f>
        <v>3</v>
      </c>
      <c r="G115" s="62"/>
      <c r="H115" s="83"/>
    </row>
    <row r="116" spans="1:8" customFormat="1" ht="25.5">
      <c r="A116" s="34"/>
      <c r="B116" s="73"/>
      <c r="C116" s="198"/>
      <c r="D116" s="199">
        <v>9202250104</v>
      </c>
      <c r="E116" s="71" t="s">
        <v>722</v>
      </c>
      <c r="F116" s="61"/>
      <c r="G116" s="62" t="s">
        <v>33</v>
      </c>
      <c r="H116" s="83">
        <v>6</v>
      </c>
    </row>
    <row r="117" spans="1:8" customFormat="1" ht="15">
      <c r="A117" s="34"/>
      <c r="B117" s="73"/>
      <c r="C117" s="198"/>
      <c r="D117" s="199"/>
      <c r="E117" s="168" t="s">
        <v>1387</v>
      </c>
      <c r="F117" s="603">
        <v>6</v>
      </c>
      <c r="G117" s="62"/>
      <c r="H117" s="83"/>
    </row>
    <row r="118" spans="1:8" customFormat="1" ht="25.5">
      <c r="A118" s="34"/>
      <c r="B118" s="73"/>
      <c r="C118" s="198"/>
      <c r="D118" s="199">
        <v>9202250111</v>
      </c>
      <c r="E118" s="71" t="s">
        <v>743</v>
      </c>
      <c r="F118" s="61"/>
      <c r="G118" s="62" t="s">
        <v>33</v>
      </c>
      <c r="H118" s="83">
        <v>3</v>
      </c>
    </row>
    <row r="119" spans="1:8" customFormat="1" ht="15">
      <c r="A119" s="34"/>
      <c r="B119" s="125"/>
      <c r="C119" s="125"/>
      <c r="D119" s="601"/>
      <c r="E119" s="168" t="s">
        <v>1383</v>
      </c>
      <c r="F119" s="603">
        <v>1</v>
      </c>
      <c r="G119" s="32"/>
      <c r="H119" s="83"/>
    </row>
    <row r="120" spans="1:8" customFormat="1" ht="15">
      <c r="A120" s="34"/>
      <c r="B120" s="125"/>
      <c r="C120" s="125"/>
      <c r="D120" s="601"/>
      <c r="E120" s="168" t="s">
        <v>1385</v>
      </c>
      <c r="F120" s="705">
        <v>2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1130</v>
      </c>
      <c r="F121" s="706">
        <f>SUM(F119:F120)</f>
        <v>3</v>
      </c>
      <c r="G121" s="32"/>
      <c r="H121" s="83"/>
    </row>
    <row r="122" spans="1:8" customFormat="1" ht="15">
      <c r="A122" s="34"/>
      <c r="B122" s="125"/>
      <c r="C122" s="125"/>
      <c r="D122" s="601"/>
      <c r="E122" s="168"/>
      <c r="F122" s="603"/>
      <c r="G122" s="32"/>
      <c r="H122" s="83"/>
    </row>
    <row r="123" spans="1:8" customFormat="1" ht="25.5">
      <c r="A123" s="34">
        <f>MAX(A$1:A122)+1</f>
        <v>24</v>
      </c>
      <c r="B123" s="43"/>
      <c r="C123" s="195">
        <v>92022705</v>
      </c>
      <c r="D123" s="196"/>
      <c r="E123" s="38" t="s">
        <v>2784</v>
      </c>
      <c r="F123" s="39"/>
      <c r="G123" s="40" t="s">
        <v>33</v>
      </c>
      <c r="H123" s="64">
        <v>3</v>
      </c>
    </row>
    <row r="124" spans="1:8" customFormat="1" ht="25.5">
      <c r="A124" s="34"/>
      <c r="B124" s="125"/>
      <c r="C124" s="125"/>
      <c r="D124" s="198">
        <v>9202270506</v>
      </c>
      <c r="E124" s="71" t="s">
        <v>2785</v>
      </c>
      <c r="F124" s="61"/>
      <c r="G124" s="62" t="s">
        <v>33</v>
      </c>
      <c r="H124" s="83">
        <v>3</v>
      </c>
    </row>
    <row r="125" spans="1:8" customFormat="1" ht="15">
      <c r="A125" s="34"/>
      <c r="B125" s="125"/>
      <c r="C125" s="125"/>
      <c r="D125" s="601"/>
      <c r="E125" s="168" t="s">
        <v>2786</v>
      </c>
      <c r="F125" s="603">
        <v>1</v>
      </c>
      <c r="G125" s="32"/>
      <c r="H125" s="83"/>
    </row>
    <row r="126" spans="1:8" customFormat="1" ht="15">
      <c r="A126" s="34"/>
      <c r="B126" s="125"/>
      <c r="C126" s="125"/>
      <c r="D126" s="601"/>
      <c r="E126" s="168" t="s">
        <v>2866</v>
      </c>
      <c r="F126" s="603">
        <v>1</v>
      </c>
      <c r="G126" s="32"/>
      <c r="H126" s="83"/>
    </row>
    <row r="127" spans="1:8" customFormat="1" ht="15">
      <c r="A127" s="34"/>
      <c r="B127" s="125"/>
      <c r="C127" s="125"/>
      <c r="D127" s="601"/>
      <c r="E127" s="168" t="s">
        <v>2787</v>
      </c>
      <c r="F127" s="705">
        <v>1</v>
      </c>
      <c r="G127" s="32"/>
      <c r="H127" s="83"/>
    </row>
    <row r="128" spans="1:8" customFormat="1" ht="15">
      <c r="A128" s="34"/>
      <c r="B128" s="125"/>
      <c r="C128" s="125"/>
      <c r="D128" s="601"/>
      <c r="E128" s="168" t="s">
        <v>1130</v>
      </c>
      <c r="F128" s="706">
        <f>SUM(F125:F127)</f>
        <v>3</v>
      </c>
      <c r="G128" s="32"/>
      <c r="H128" s="83"/>
    </row>
    <row r="129" spans="1:8" customFormat="1" ht="15">
      <c r="A129" s="34"/>
      <c r="B129" s="125"/>
      <c r="C129" s="125"/>
      <c r="D129" s="601"/>
      <c r="E129" s="168"/>
      <c r="F129" s="603"/>
      <c r="G129" s="32"/>
      <c r="H129" s="83"/>
    </row>
    <row r="130" spans="1:8" customFormat="1" ht="25.5">
      <c r="A130" s="34">
        <f>MAX(A$1:A129)+1</f>
        <v>25</v>
      </c>
      <c r="B130" s="43"/>
      <c r="C130" s="195">
        <v>92022801</v>
      </c>
      <c r="D130" s="196"/>
      <c r="E130" s="38" t="s">
        <v>2867</v>
      </c>
      <c r="F130" s="39"/>
      <c r="G130" s="40" t="s">
        <v>36</v>
      </c>
      <c r="H130" s="64">
        <v>3</v>
      </c>
    </row>
    <row r="131" spans="1:8" customFormat="1" ht="25.5">
      <c r="A131" s="34"/>
      <c r="B131" s="73"/>
      <c r="C131" s="198"/>
      <c r="D131" s="199">
        <v>9202280104</v>
      </c>
      <c r="E131" s="71" t="s">
        <v>2868</v>
      </c>
      <c r="F131" s="61"/>
      <c r="G131" s="62" t="s">
        <v>33</v>
      </c>
      <c r="H131" s="83">
        <v>3</v>
      </c>
    </row>
    <row r="132" spans="1:8" customFormat="1" ht="15">
      <c r="A132" s="34"/>
      <c r="B132" s="125"/>
      <c r="C132" s="125"/>
      <c r="D132" s="601"/>
      <c r="E132" s="168" t="s">
        <v>2869</v>
      </c>
      <c r="F132" s="603">
        <v>1</v>
      </c>
      <c r="G132" s="32"/>
      <c r="H132" s="83"/>
    </row>
    <row r="133" spans="1:8" customFormat="1" ht="15">
      <c r="A133" s="34"/>
      <c r="B133" s="125"/>
      <c r="C133" s="125"/>
      <c r="D133" s="601"/>
      <c r="E133" s="168" t="s">
        <v>2870</v>
      </c>
      <c r="F133" s="705">
        <v>2</v>
      </c>
      <c r="G133" s="32"/>
      <c r="H133" s="83"/>
    </row>
    <row r="134" spans="1:8" customFormat="1" ht="15">
      <c r="A134" s="34"/>
      <c r="B134" s="125"/>
      <c r="C134" s="125"/>
      <c r="D134" s="601"/>
      <c r="E134" s="168" t="s">
        <v>1130</v>
      </c>
      <c r="F134" s="706">
        <f>SUM(F131:F133)</f>
        <v>3</v>
      </c>
      <c r="G134" s="32"/>
      <c r="H134" s="83"/>
    </row>
    <row r="135" spans="1:8" customFormat="1" ht="15">
      <c r="A135" s="34"/>
      <c r="B135" s="125"/>
      <c r="C135" s="125"/>
      <c r="D135" s="601"/>
      <c r="E135" s="168"/>
      <c r="F135" s="603"/>
      <c r="G135" s="32"/>
      <c r="H135" s="83"/>
    </row>
    <row r="136" spans="1:8" customFormat="1" ht="25.5">
      <c r="A136" s="34">
        <f>MAX(A$1:A135)+1</f>
        <v>26</v>
      </c>
      <c r="B136" s="43"/>
      <c r="C136" s="195">
        <v>92022901</v>
      </c>
      <c r="D136" s="196"/>
      <c r="E136" s="38" t="s">
        <v>2871</v>
      </c>
      <c r="F136" s="39"/>
      <c r="G136" s="40" t="s">
        <v>36</v>
      </c>
      <c r="H136" s="64">
        <v>25.5</v>
      </c>
    </row>
    <row r="137" spans="1:8" customFormat="1" ht="25.5">
      <c r="A137" s="34"/>
      <c r="B137" s="73"/>
      <c r="C137" s="198"/>
      <c r="D137" s="199">
        <v>9202290101</v>
      </c>
      <c r="E137" s="71" t="s">
        <v>2872</v>
      </c>
      <c r="F137" s="61"/>
      <c r="G137" s="62" t="s">
        <v>36</v>
      </c>
      <c r="H137" s="83">
        <v>13.5</v>
      </c>
    </row>
    <row r="138" spans="1:8" customFormat="1" ht="15">
      <c r="A138" s="34"/>
      <c r="B138" s="73"/>
      <c r="C138" s="198"/>
      <c r="D138" s="199"/>
      <c r="E138" s="168" t="s">
        <v>2873</v>
      </c>
      <c r="F138" s="603">
        <v>13.5</v>
      </c>
      <c r="G138" s="62"/>
      <c r="H138" s="83"/>
    </row>
    <row r="139" spans="1:8" customFormat="1" ht="25.5">
      <c r="A139" s="34"/>
      <c r="B139" s="73"/>
      <c r="C139" s="198"/>
      <c r="D139" s="199">
        <v>9202290102</v>
      </c>
      <c r="E139" s="71" t="s">
        <v>2874</v>
      </c>
      <c r="F139" s="61"/>
      <c r="G139" s="62" t="s">
        <v>36</v>
      </c>
      <c r="H139" s="83">
        <v>12</v>
      </c>
    </row>
    <row r="140" spans="1:8" customFormat="1" ht="15">
      <c r="A140" s="34"/>
      <c r="B140" s="43"/>
      <c r="C140" s="195"/>
      <c r="D140" s="196"/>
      <c r="E140" s="168" t="s">
        <v>2875</v>
      </c>
      <c r="F140" s="603">
        <v>12</v>
      </c>
      <c r="G140" s="40"/>
      <c r="H140" s="83"/>
    </row>
    <row r="141" spans="1:8" customFormat="1" ht="15">
      <c r="A141" s="34"/>
      <c r="B141" s="43"/>
      <c r="C141" s="195"/>
      <c r="D141" s="196"/>
      <c r="E141" s="38"/>
      <c r="F141" s="39"/>
      <c r="G141" s="40"/>
      <c r="H141" s="83"/>
    </row>
    <row r="142" spans="1:8" customFormat="1" ht="25.5">
      <c r="A142" s="34">
        <f>MAX(A$1:A141)+1</f>
        <v>27</v>
      </c>
      <c r="B142" s="43"/>
      <c r="C142" s="195">
        <v>92050303</v>
      </c>
      <c r="D142" s="196"/>
      <c r="E142" s="38" t="s">
        <v>2876</v>
      </c>
      <c r="F142" s="39"/>
      <c r="G142" s="40" t="s">
        <v>33</v>
      </c>
      <c r="H142" s="64">
        <v>1</v>
      </c>
    </row>
    <row r="143" spans="1:8" customFormat="1" ht="25.5">
      <c r="A143" s="34"/>
      <c r="B143" s="73"/>
      <c r="C143" s="198"/>
      <c r="D143" s="199">
        <v>9205030302</v>
      </c>
      <c r="E143" s="71" t="s">
        <v>2877</v>
      </c>
      <c r="F143" s="61"/>
      <c r="G143" s="62" t="s">
        <v>33</v>
      </c>
      <c r="H143" s="83">
        <v>1</v>
      </c>
    </row>
    <row r="144" spans="1:8" customFormat="1" ht="15">
      <c r="A144" s="34"/>
      <c r="B144" s="43"/>
      <c r="C144" s="195"/>
      <c r="D144" s="196"/>
      <c r="E144" s="168" t="s">
        <v>2878</v>
      </c>
      <c r="F144" s="603">
        <v>1</v>
      </c>
      <c r="G144" s="40"/>
      <c r="H144" s="83"/>
    </row>
    <row r="145" spans="1:8" customFormat="1" ht="15">
      <c r="A145" s="34"/>
      <c r="B145" s="43"/>
      <c r="C145" s="195"/>
      <c r="D145" s="196"/>
      <c r="E145" s="38"/>
      <c r="F145" s="39"/>
      <c r="G145" s="40"/>
      <c r="H145" s="83"/>
    </row>
    <row r="146" spans="1:8" ht="25.5">
      <c r="A146" s="34">
        <f>MAX(A$1:A145)+1</f>
        <v>28</v>
      </c>
      <c r="B146" s="43"/>
      <c r="C146" s="195">
        <v>92050308</v>
      </c>
      <c r="D146" s="196"/>
      <c r="E146" s="38" t="s">
        <v>2879</v>
      </c>
      <c r="F146" s="39"/>
      <c r="G146" s="40" t="s">
        <v>33</v>
      </c>
      <c r="H146" s="64">
        <v>1</v>
      </c>
    </row>
    <row r="147" spans="1:8" ht="25.5">
      <c r="A147" s="72"/>
      <c r="B147" s="73"/>
      <c r="C147" s="198"/>
      <c r="D147" s="199">
        <v>9205030802</v>
      </c>
      <c r="E147" s="71" t="s">
        <v>2880</v>
      </c>
      <c r="F147" s="61"/>
      <c r="G147" s="62" t="s">
        <v>33</v>
      </c>
      <c r="H147" s="83">
        <v>1</v>
      </c>
    </row>
    <row r="148" spans="1:8" ht="15">
      <c r="A148" s="72"/>
      <c r="B148" s="43"/>
      <c r="C148" s="195"/>
      <c r="D148" s="196"/>
      <c r="E148" s="168" t="s">
        <v>2881</v>
      </c>
      <c r="F148" s="603">
        <v>1</v>
      </c>
      <c r="G148" s="40"/>
      <c r="H148" s="83"/>
    </row>
    <row r="149" spans="1:8" ht="15">
      <c r="A149" s="72"/>
      <c r="B149" s="73"/>
      <c r="C149" s="66"/>
      <c r="D149" s="67"/>
      <c r="E149" s="84"/>
      <c r="F149" s="90"/>
      <c r="G149" s="62"/>
      <c r="H149" s="99"/>
    </row>
    <row r="150" spans="1:8" ht="13.5" thickBot="1">
      <c r="A150" s="106"/>
      <c r="B150" s="107"/>
      <c r="C150" s="107"/>
      <c r="D150" s="107"/>
      <c r="E150" s="108"/>
      <c r="F150" s="109"/>
      <c r="G150" s="107"/>
      <c r="H150" s="110"/>
    </row>
  </sheetData>
  <sheetProtection algorithmName="SHA-512" hashValue="aivffB+QHarwaPteVcFzCOmOv462IuIgDjfOOlbRXLw09G/YzhAdVml1aPIdJivvUq0/QPu4l5uMA8zZS82Bcg==" saltValue="eTGoJx07r+ZsyzmoIc3Px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E2428-2324-4DAE-8118-3101CE739374}">
  <sheetPr codeName="Hárok43"/>
  <dimension ref="A1:J16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2889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F39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"/>
      <c r="C18" s="1244" t="s">
        <v>2729</v>
      </c>
      <c r="D18" s="1244"/>
      <c r="E18" s="1245" t="s">
        <v>2730</v>
      </c>
      <c r="F18" s="1246"/>
      <c r="G18" s="31" t="s">
        <v>33</v>
      </c>
      <c r="H18" s="64">
        <v>1</v>
      </c>
    </row>
    <row r="19" spans="1:8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2845</v>
      </c>
      <c r="D21" s="1257"/>
      <c r="E21" s="38" t="s">
        <v>2846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2847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2848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2849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158</v>
      </c>
      <c r="D31" s="37"/>
      <c r="E31" s="38" t="s">
        <v>159</v>
      </c>
      <c r="F31" s="39"/>
      <c r="G31" s="40" t="s">
        <v>18</v>
      </c>
      <c r="H31" s="64">
        <v>0.36</v>
      </c>
    </row>
    <row r="32" spans="1:8" customFormat="1" ht="15">
      <c r="A32" s="34"/>
      <c r="B32" s="31"/>
      <c r="C32" s="31"/>
      <c r="D32" s="67" t="s">
        <v>160</v>
      </c>
      <c r="E32" s="71" t="s">
        <v>161</v>
      </c>
      <c r="F32" s="61"/>
      <c r="G32" s="62" t="s">
        <v>18</v>
      </c>
      <c r="H32" s="83">
        <v>0.36</v>
      </c>
    </row>
    <row r="33" spans="1:8" customFormat="1" ht="15">
      <c r="A33" s="34"/>
      <c r="B33" s="31"/>
      <c r="C33" s="31"/>
      <c r="D33" s="67"/>
      <c r="E33" s="168" t="s">
        <v>2890</v>
      </c>
      <c r="F33" s="170">
        <f>2*0.35*0.19</f>
        <v>0.13299999999999998</v>
      </c>
      <c r="G33" s="62"/>
      <c r="H33" s="83"/>
    </row>
    <row r="34" spans="1:8" customFormat="1" ht="15">
      <c r="A34" s="34"/>
      <c r="B34" s="31"/>
      <c r="C34" s="31"/>
      <c r="D34" s="32"/>
      <c r="E34" s="168" t="s">
        <v>2891</v>
      </c>
      <c r="F34" s="180">
        <f>1*0.35*0.65</f>
        <v>0.22749999999999998</v>
      </c>
      <c r="G34" s="29"/>
      <c r="H34" s="83"/>
    </row>
    <row r="35" spans="1:8" customFormat="1" ht="15">
      <c r="A35" s="34"/>
      <c r="B35" s="31"/>
      <c r="C35" s="31"/>
      <c r="D35" s="32"/>
      <c r="E35" s="168" t="s">
        <v>1130</v>
      </c>
      <c r="F35" s="706">
        <f>SUM(F33:F34)</f>
        <v>0.36049999999999993</v>
      </c>
      <c r="G35" s="29"/>
      <c r="H35" s="83"/>
    </row>
    <row r="36" spans="1:8" customFormat="1" ht="15">
      <c r="A36" s="34"/>
      <c r="B36" s="125"/>
      <c r="C36" s="125"/>
      <c r="D36" s="601"/>
      <c r="E36" s="168"/>
      <c r="F36" s="603"/>
      <c r="G36" s="32"/>
      <c r="H36" s="83"/>
    </row>
    <row r="37" spans="1:8" customFormat="1" ht="15">
      <c r="A37" s="34">
        <f>MAX(A$1:A36)+1</f>
        <v>8</v>
      </c>
      <c r="B37" s="31"/>
      <c r="C37" s="36" t="s">
        <v>58</v>
      </c>
      <c r="D37" s="248"/>
      <c r="E37" s="38" t="s">
        <v>59</v>
      </c>
      <c r="F37" s="78"/>
      <c r="G37" s="40" t="s">
        <v>18</v>
      </c>
      <c r="H37" s="64">
        <v>2.3199999999999998</v>
      </c>
    </row>
    <row r="38" spans="1:8" customFormat="1" ht="15">
      <c r="A38" s="145"/>
      <c r="B38" s="31"/>
      <c r="C38" s="66"/>
      <c r="D38" s="242" t="s">
        <v>60</v>
      </c>
      <c r="E38" s="71" t="s">
        <v>61</v>
      </c>
      <c r="F38" s="28"/>
      <c r="G38" s="62" t="s">
        <v>18</v>
      </c>
      <c r="H38" s="83">
        <v>2.3199999999999998</v>
      </c>
    </row>
    <row r="39" spans="1:8" customFormat="1" ht="15">
      <c r="A39" s="145"/>
      <c r="B39" s="31"/>
      <c r="C39" s="66"/>
      <c r="D39" s="242"/>
      <c r="E39" s="157" t="s">
        <v>2741</v>
      </c>
      <c r="F39" s="144">
        <f>F53</f>
        <v>2.3240000000000003</v>
      </c>
      <c r="G39" s="62"/>
      <c r="H39" s="83"/>
    </row>
    <row r="40" spans="1:8" customFormat="1" ht="15">
      <c r="A40" s="145"/>
      <c r="B40" s="31"/>
      <c r="C40" s="66"/>
      <c r="D40" s="242"/>
      <c r="E40" s="157"/>
      <c r="F40" s="144"/>
      <c r="G40" s="62"/>
      <c r="H40" s="83"/>
    </row>
    <row r="41" spans="1:8" customFormat="1" ht="15">
      <c r="A41" s="34">
        <f>MAX(A$1:A40)+1</f>
        <v>9</v>
      </c>
      <c r="B41" s="31"/>
      <c r="C41" s="36" t="s">
        <v>78</v>
      </c>
      <c r="D41" s="37"/>
      <c r="E41" s="38" t="s">
        <v>79</v>
      </c>
      <c r="F41" s="39"/>
      <c r="G41" s="40" t="s">
        <v>18</v>
      </c>
      <c r="H41" s="64">
        <v>0.36</v>
      </c>
    </row>
    <row r="42" spans="1:8" customFormat="1" ht="15">
      <c r="A42" s="145"/>
      <c r="B42" s="31"/>
      <c r="C42" s="31"/>
      <c r="D42" s="67" t="s">
        <v>80</v>
      </c>
      <c r="E42" s="71" t="s">
        <v>81</v>
      </c>
      <c r="F42" s="61"/>
      <c r="G42" s="62" t="s">
        <v>18</v>
      </c>
      <c r="H42" s="83">
        <v>0.36</v>
      </c>
    </row>
    <row r="43" spans="1:8" customFormat="1" ht="15">
      <c r="A43" s="145"/>
      <c r="B43" s="31"/>
      <c r="C43" s="31"/>
      <c r="D43" s="32"/>
      <c r="E43" s="168" t="s">
        <v>2890</v>
      </c>
      <c r="F43" s="170">
        <f>2*0.35*0.19</f>
        <v>0.13299999999999998</v>
      </c>
      <c r="G43" s="29"/>
      <c r="H43" s="83"/>
    </row>
    <row r="44" spans="1:8" customFormat="1" ht="15">
      <c r="A44" s="145"/>
      <c r="B44" s="31"/>
      <c r="C44" s="31"/>
      <c r="D44" s="32"/>
      <c r="E44" s="168" t="s">
        <v>2891</v>
      </c>
      <c r="F44" s="180">
        <f>1*0.35*0.65</f>
        <v>0.22749999999999998</v>
      </c>
      <c r="G44" s="29"/>
      <c r="H44" s="83"/>
    </row>
    <row r="45" spans="1:8" customFormat="1" ht="15">
      <c r="A45" s="145"/>
      <c r="B45" s="31"/>
      <c r="C45" s="31"/>
      <c r="D45" s="32"/>
      <c r="E45" s="168" t="s">
        <v>1130</v>
      </c>
      <c r="F45" s="706">
        <f>SUM(F43:F44)</f>
        <v>0.36049999999999993</v>
      </c>
      <c r="G45" s="29"/>
      <c r="H45" s="83"/>
    </row>
    <row r="46" spans="1:8" customFormat="1" ht="15">
      <c r="A46" s="145"/>
      <c r="B46" s="31"/>
      <c r="C46" s="66"/>
      <c r="D46" s="242"/>
      <c r="E46" s="157"/>
      <c r="F46" s="144"/>
      <c r="G46" s="62"/>
      <c r="H46" s="83"/>
    </row>
    <row r="47" spans="1:8" customFormat="1" ht="15">
      <c r="A47" s="34">
        <f>MAX(A$1:A46)+1</f>
        <v>10</v>
      </c>
      <c r="B47" s="31"/>
      <c r="C47" s="36" t="s">
        <v>472</v>
      </c>
      <c r="D47" s="248"/>
      <c r="E47" s="38" t="s">
        <v>473</v>
      </c>
      <c r="F47" s="78"/>
      <c r="G47" s="40" t="s">
        <v>18</v>
      </c>
      <c r="H47" s="64">
        <v>0.11</v>
      </c>
    </row>
    <row r="48" spans="1:8" customFormat="1" ht="15">
      <c r="A48" s="145"/>
      <c r="B48" s="31"/>
      <c r="C48" s="66"/>
      <c r="D48" s="67" t="s">
        <v>2745</v>
      </c>
      <c r="E48" s="71" t="s">
        <v>2746</v>
      </c>
      <c r="F48" s="61"/>
      <c r="G48" s="62" t="s">
        <v>18</v>
      </c>
      <c r="H48" s="83">
        <v>0.11</v>
      </c>
    </row>
    <row r="49" spans="1:8" customFormat="1" ht="15">
      <c r="A49" s="145"/>
      <c r="B49" s="31"/>
      <c r="C49" s="66"/>
      <c r="D49" s="242"/>
      <c r="E49" s="157" t="s">
        <v>2885</v>
      </c>
      <c r="F49" s="144">
        <f>3*0.35*0.1</f>
        <v>0.10499999999999998</v>
      </c>
      <c r="G49" s="62"/>
      <c r="H49" s="83"/>
    </row>
    <row r="50" spans="1:8" customFormat="1" ht="15">
      <c r="A50" s="145"/>
      <c r="B50" s="31"/>
      <c r="C50" s="31"/>
      <c r="D50" s="32"/>
      <c r="E50" s="168"/>
      <c r="F50" s="603"/>
      <c r="G50" s="29"/>
      <c r="H50" s="83"/>
    </row>
    <row r="51" spans="1:8" customFormat="1" ht="15">
      <c r="A51" s="34">
        <f>MAX(A$1:A50)+1</f>
        <v>11</v>
      </c>
      <c r="B51" s="43"/>
      <c r="C51" s="36" t="s">
        <v>50</v>
      </c>
      <c r="D51" s="37"/>
      <c r="E51" s="38" t="s">
        <v>51</v>
      </c>
      <c r="F51" s="39"/>
      <c r="G51" s="40" t="s">
        <v>18</v>
      </c>
      <c r="H51" s="64">
        <v>2.3199999999999998</v>
      </c>
    </row>
    <row r="52" spans="1:8" customFormat="1" ht="25.5">
      <c r="A52" s="72"/>
      <c r="B52" s="73"/>
      <c r="C52" s="66"/>
      <c r="D52" s="67" t="s">
        <v>138</v>
      </c>
      <c r="E52" s="71" t="s">
        <v>139</v>
      </c>
      <c r="F52" s="61"/>
      <c r="G52" s="62" t="s">
        <v>18</v>
      </c>
      <c r="H52" s="83">
        <v>2.3199999999999998</v>
      </c>
    </row>
    <row r="53" spans="1:8" customFormat="1" ht="25.5">
      <c r="A53" s="34"/>
      <c r="B53" s="31"/>
      <c r="C53" s="31"/>
      <c r="D53" s="32"/>
      <c r="E53" s="168" t="s">
        <v>2850</v>
      </c>
      <c r="F53" s="170">
        <f>(1.3*1*1)+(0.3*1.6*1.6)+(1.6*1.6*0.1)</f>
        <v>2.3240000000000003</v>
      </c>
      <c r="G53" s="29"/>
      <c r="H53" s="83"/>
    </row>
    <row r="54" spans="1:8" customFormat="1" ht="15">
      <c r="A54" s="145"/>
      <c r="B54" s="31"/>
      <c r="C54" s="31"/>
      <c r="D54" s="32"/>
      <c r="E54" s="168"/>
      <c r="F54" s="172"/>
      <c r="G54" s="29"/>
      <c r="H54" s="83"/>
    </row>
    <row r="55" spans="1:8" customFormat="1" ht="15">
      <c r="A55" s="145"/>
      <c r="B55" s="35" t="s">
        <v>2749</v>
      </c>
      <c r="C55" s="35"/>
      <c r="D55" s="94"/>
      <c r="E55" s="50" t="s">
        <v>2750</v>
      </c>
      <c r="F55" s="28"/>
      <c r="G55" s="29"/>
      <c r="H55" s="83"/>
    </row>
    <row r="56" spans="1:8" customFormat="1" ht="15">
      <c r="A56" s="145"/>
      <c r="B56" s="31"/>
      <c r="C56" s="31"/>
      <c r="D56" s="32"/>
      <c r="E56" s="33"/>
      <c r="F56" s="28"/>
      <c r="G56" s="29"/>
      <c r="H56" s="83"/>
    </row>
    <row r="57" spans="1:8" customFormat="1" ht="15">
      <c r="A57" s="34">
        <f>MAX(A$1:A56)+1</f>
        <v>12</v>
      </c>
      <c r="B57" s="31"/>
      <c r="C57" s="36" t="s">
        <v>418</v>
      </c>
      <c r="D57" s="37"/>
      <c r="E57" s="38" t="s">
        <v>419</v>
      </c>
      <c r="F57" s="39"/>
      <c r="G57" s="40" t="s">
        <v>18</v>
      </c>
      <c r="H57" s="64">
        <v>2.3199999999999998</v>
      </c>
    </row>
    <row r="58" spans="1:8" customFormat="1" ht="15">
      <c r="A58" s="145"/>
      <c r="B58" s="31"/>
      <c r="C58" s="31"/>
      <c r="D58" s="191" t="s">
        <v>2751</v>
      </c>
      <c r="E58" s="193" t="s">
        <v>2752</v>
      </c>
      <c r="F58" s="192"/>
      <c r="G58" s="32" t="s">
        <v>18</v>
      </c>
      <c r="H58" s="83">
        <v>2.3199999999999998</v>
      </c>
    </row>
    <row r="59" spans="1:8" customFormat="1" ht="25.5">
      <c r="A59" s="145"/>
      <c r="B59" s="31"/>
      <c r="C59" s="31"/>
      <c r="D59" s="32"/>
      <c r="E59" s="157" t="s">
        <v>2849</v>
      </c>
      <c r="F59" s="603">
        <f xml:space="preserve"> (1.3*1*1)+(0.3*1.6*1.6)+(1.6*1.6*0.1)</f>
        <v>2.3240000000000003</v>
      </c>
      <c r="G59" s="29"/>
      <c r="H59" s="83"/>
    </row>
    <row r="60" spans="1:8" customFormat="1" ht="15">
      <c r="A60" s="145"/>
      <c r="B60" s="31"/>
      <c r="C60" s="31"/>
      <c r="D60" s="32"/>
      <c r="E60" s="33"/>
      <c r="F60" s="28"/>
      <c r="G60" s="29"/>
      <c r="H60" s="83"/>
    </row>
    <row r="61" spans="1:8" customFormat="1" ht="15">
      <c r="A61" s="34">
        <f>MAX(A$1:A60)+1</f>
        <v>13</v>
      </c>
      <c r="B61" s="31"/>
      <c r="C61" s="36" t="s">
        <v>2754</v>
      </c>
      <c r="D61" s="37"/>
      <c r="E61" s="38" t="s">
        <v>2755</v>
      </c>
      <c r="F61" s="39"/>
      <c r="G61" s="40" t="s">
        <v>21</v>
      </c>
      <c r="H61" s="83">
        <v>11.520000000000001</v>
      </c>
    </row>
    <row r="62" spans="1:8" customFormat="1" ht="15">
      <c r="A62" s="145"/>
      <c r="B62" s="31"/>
      <c r="C62" s="31"/>
      <c r="D62" s="67" t="s">
        <v>2756</v>
      </c>
      <c r="E62" s="71" t="s">
        <v>2757</v>
      </c>
      <c r="F62" s="61"/>
      <c r="G62" s="62" t="s">
        <v>21</v>
      </c>
      <c r="H62" s="83">
        <v>11.520000000000001</v>
      </c>
    </row>
    <row r="63" spans="1:8" customFormat="1" ht="15">
      <c r="A63" s="145"/>
      <c r="B63" s="31"/>
      <c r="C63" s="31"/>
      <c r="D63" s="32"/>
      <c r="E63" s="157" t="s">
        <v>2851</v>
      </c>
      <c r="F63" s="170">
        <f>((1.6*1.8)*4)</f>
        <v>11.520000000000001</v>
      </c>
      <c r="G63" s="29"/>
      <c r="H63" s="83"/>
    </row>
    <row r="64" spans="1:8" customFormat="1" ht="15">
      <c r="A64" s="145"/>
      <c r="B64" s="31"/>
      <c r="C64" s="31"/>
      <c r="D64" s="32"/>
      <c r="E64" s="168"/>
      <c r="F64" s="172"/>
      <c r="G64" s="29"/>
      <c r="H64" s="83"/>
    </row>
    <row r="65" spans="1:8" customFormat="1" ht="25.5">
      <c r="A65" s="178"/>
      <c r="B65" s="35" t="s">
        <v>270</v>
      </c>
      <c r="C65" s="35"/>
      <c r="D65" s="94"/>
      <c r="E65" s="50" t="s">
        <v>271</v>
      </c>
      <c r="F65" s="28"/>
      <c r="G65" s="29"/>
      <c r="H65" s="83"/>
    </row>
    <row r="66" spans="1:8" customFormat="1" ht="15">
      <c r="A66" s="178"/>
      <c r="B66" s="31"/>
      <c r="C66" s="31"/>
      <c r="D66" s="32"/>
      <c r="E66" s="33"/>
      <c r="F66" s="28"/>
      <c r="G66" s="29"/>
      <c r="H66" s="83"/>
    </row>
    <row r="67" spans="1:8" customFormat="1" ht="25.5">
      <c r="A67" s="34">
        <f>MAX(A$1:A66)+1</f>
        <v>14</v>
      </c>
      <c r="B67" s="31"/>
      <c r="C67" s="36" t="s">
        <v>576</v>
      </c>
      <c r="D67" s="37"/>
      <c r="E67" s="38" t="s">
        <v>577</v>
      </c>
      <c r="F67" s="39"/>
      <c r="G67" s="40" t="s">
        <v>36</v>
      </c>
      <c r="H67" s="64">
        <v>3</v>
      </c>
    </row>
    <row r="68" spans="1:8" customFormat="1" ht="25.5">
      <c r="A68" s="178"/>
      <c r="B68" s="31"/>
      <c r="C68" s="31"/>
      <c r="D68" s="67" t="s">
        <v>754</v>
      </c>
      <c r="E68" s="71" t="s">
        <v>755</v>
      </c>
      <c r="F68" s="61"/>
      <c r="G68" s="62" t="s">
        <v>36</v>
      </c>
      <c r="H68" s="83">
        <v>3</v>
      </c>
    </row>
    <row r="69" spans="1:8" customFormat="1" ht="15">
      <c r="A69" s="178"/>
      <c r="B69" s="31"/>
      <c r="C69" s="31"/>
      <c r="D69" s="32"/>
      <c r="E69" s="168" t="s">
        <v>2886</v>
      </c>
      <c r="F69" s="170">
        <v>3</v>
      </c>
      <c r="G69" s="29"/>
      <c r="H69" s="83"/>
    </row>
    <row r="70" spans="1:8" customFormat="1" ht="15">
      <c r="A70" s="145"/>
      <c r="B70" s="31"/>
      <c r="C70" s="31"/>
      <c r="D70" s="32"/>
      <c r="E70" s="168"/>
      <c r="F70" s="172"/>
      <c r="G70" s="32"/>
      <c r="H70" s="83"/>
    </row>
    <row r="71" spans="1:8" customFormat="1" ht="15">
      <c r="A71" s="95"/>
      <c r="B71" s="35" t="s">
        <v>621</v>
      </c>
      <c r="C71" s="35"/>
      <c r="D71" s="94"/>
      <c r="E71" s="50" t="s">
        <v>622</v>
      </c>
      <c r="F71" s="100"/>
      <c r="G71" s="97"/>
      <c r="H71" s="42"/>
    </row>
    <row r="72" spans="1:8" customFormat="1" ht="15">
      <c r="A72" s="34"/>
      <c r="B72" s="125"/>
      <c r="C72" s="125"/>
      <c r="D72" s="601"/>
      <c r="E72" s="193"/>
      <c r="F72" s="603"/>
      <c r="G72" s="32"/>
      <c r="H72" s="83"/>
    </row>
    <row r="73" spans="1:8" customFormat="1" ht="15">
      <c r="A73" s="34">
        <f>MAX(A$1:A72)+1</f>
        <v>15</v>
      </c>
      <c r="B73" s="43"/>
      <c r="C73" s="195">
        <v>92010101</v>
      </c>
      <c r="D73" s="196"/>
      <c r="E73" s="38" t="s">
        <v>2852</v>
      </c>
      <c r="F73" s="39"/>
      <c r="G73" s="40" t="s">
        <v>33</v>
      </c>
      <c r="H73" s="64">
        <v>1</v>
      </c>
    </row>
    <row r="74" spans="1:8" customFormat="1" ht="15">
      <c r="A74" s="34"/>
      <c r="B74" s="73"/>
      <c r="C74" s="198"/>
      <c r="D74" s="199">
        <v>9201010103</v>
      </c>
      <c r="E74" s="71" t="s">
        <v>2853</v>
      </c>
      <c r="F74" s="61"/>
      <c r="G74" s="62" t="s">
        <v>33</v>
      </c>
      <c r="H74" s="83">
        <v>1</v>
      </c>
    </row>
    <row r="75" spans="1:8" customFormat="1" ht="15">
      <c r="A75" s="34"/>
      <c r="B75" s="125"/>
      <c r="C75" s="125"/>
      <c r="D75" s="601"/>
      <c r="E75" s="168" t="s">
        <v>2854</v>
      </c>
      <c r="F75" s="603">
        <v>1</v>
      </c>
      <c r="G75" s="32"/>
      <c r="H75" s="83"/>
    </row>
    <row r="76" spans="1:8" customFormat="1" ht="15">
      <c r="A76" s="34"/>
      <c r="B76" s="125"/>
      <c r="C76" s="125"/>
      <c r="D76" s="601"/>
      <c r="E76" s="193"/>
      <c r="F76" s="603"/>
      <c r="G76" s="32"/>
      <c r="H76" s="83"/>
    </row>
    <row r="77" spans="1:8" customFormat="1" ht="15">
      <c r="A77" s="34">
        <f>MAX(A$1:A76)+1</f>
        <v>16</v>
      </c>
      <c r="B77" s="43"/>
      <c r="C77" s="195">
        <v>92010109</v>
      </c>
      <c r="D77" s="196"/>
      <c r="E77" s="38" t="s">
        <v>2855</v>
      </c>
      <c r="F77" s="39"/>
      <c r="G77" s="40" t="s">
        <v>33</v>
      </c>
      <c r="H77" s="64">
        <v>1</v>
      </c>
    </row>
    <row r="78" spans="1:8" customFormat="1" ht="15">
      <c r="A78" s="34"/>
      <c r="B78" s="73"/>
      <c r="C78" s="198"/>
      <c r="D78" s="199">
        <v>9201010902</v>
      </c>
      <c r="E78" s="71" t="s">
        <v>2856</v>
      </c>
      <c r="F78" s="61"/>
      <c r="G78" s="62" t="s">
        <v>33</v>
      </c>
      <c r="H78" s="83">
        <v>1</v>
      </c>
    </row>
    <row r="79" spans="1:8" customFormat="1" ht="15">
      <c r="A79" s="34"/>
      <c r="B79" s="125"/>
      <c r="C79" s="125"/>
      <c r="D79" s="601"/>
      <c r="E79" s="168" t="s">
        <v>2857</v>
      </c>
      <c r="F79" s="603">
        <v>1</v>
      </c>
      <c r="G79" s="32"/>
      <c r="H79" s="83"/>
    </row>
    <row r="80" spans="1:8" customFormat="1" ht="15">
      <c r="A80" s="34"/>
      <c r="B80" s="125"/>
      <c r="C80" s="125"/>
      <c r="D80" s="601"/>
      <c r="E80" s="193"/>
      <c r="F80" s="603"/>
      <c r="G80" s="32"/>
      <c r="H80" s="83"/>
    </row>
    <row r="81" spans="1:8" customFormat="1" ht="25.5">
      <c r="A81" s="34">
        <f>MAX(A$1:A80)+1</f>
        <v>17</v>
      </c>
      <c r="B81" s="43"/>
      <c r="C81" s="195">
        <v>92010204</v>
      </c>
      <c r="D81" s="196"/>
      <c r="E81" s="38" t="s">
        <v>2858</v>
      </c>
      <c r="F81" s="39"/>
      <c r="G81" s="40" t="s">
        <v>33</v>
      </c>
      <c r="H81" s="64">
        <v>2</v>
      </c>
    </row>
    <row r="82" spans="1:8" customFormat="1" ht="25.5">
      <c r="A82" s="34"/>
      <c r="B82" s="73"/>
      <c r="C82" s="198"/>
      <c r="D82" s="199">
        <v>9201020401</v>
      </c>
      <c r="E82" s="71" t="s">
        <v>2859</v>
      </c>
      <c r="F82" s="61"/>
      <c r="G82" s="62" t="s">
        <v>33</v>
      </c>
      <c r="H82" s="83">
        <v>2</v>
      </c>
    </row>
    <row r="83" spans="1:8" customFormat="1" ht="15">
      <c r="A83" s="34"/>
      <c r="B83" s="125"/>
      <c r="C83" s="125"/>
      <c r="D83" s="601"/>
      <c r="E83" s="168" t="s">
        <v>2860</v>
      </c>
      <c r="F83" s="603">
        <v>1</v>
      </c>
      <c r="G83" s="32"/>
      <c r="H83" s="83"/>
    </row>
    <row r="84" spans="1:8" customFormat="1" ht="15">
      <c r="A84" s="34"/>
      <c r="B84" s="125"/>
      <c r="C84" s="125"/>
      <c r="D84" s="601"/>
      <c r="E84" s="168" t="s">
        <v>2861</v>
      </c>
      <c r="F84" s="705">
        <v>1</v>
      </c>
      <c r="G84" s="32"/>
      <c r="H84" s="83"/>
    </row>
    <row r="85" spans="1:8" customFormat="1" ht="15">
      <c r="A85" s="34"/>
      <c r="B85" s="125"/>
      <c r="C85" s="125"/>
      <c r="D85" s="601"/>
      <c r="E85" s="168" t="s">
        <v>1130</v>
      </c>
      <c r="F85" s="706">
        <f>SUM(F82:F84)</f>
        <v>2</v>
      </c>
      <c r="G85" s="32"/>
      <c r="H85" s="83"/>
    </row>
    <row r="86" spans="1:8" customFormat="1" ht="15">
      <c r="A86" s="34"/>
      <c r="B86" s="125"/>
      <c r="C86" s="125"/>
      <c r="D86" s="601"/>
      <c r="E86" s="193"/>
      <c r="F86" s="603"/>
      <c r="G86" s="32"/>
      <c r="H86" s="83"/>
    </row>
    <row r="87" spans="1:8" customFormat="1" ht="25.5">
      <c r="A87" s="34">
        <f>MAX(A$1:A86)+1</f>
        <v>18</v>
      </c>
      <c r="B87" s="43"/>
      <c r="C87" s="195">
        <v>92010207</v>
      </c>
      <c r="D87" s="196"/>
      <c r="E87" s="38" t="s">
        <v>2862</v>
      </c>
      <c r="F87" s="39"/>
      <c r="G87" s="40" t="s">
        <v>33</v>
      </c>
      <c r="H87" s="64">
        <v>2</v>
      </c>
    </row>
    <row r="88" spans="1:8" customFormat="1" ht="25.5">
      <c r="A88" s="34"/>
      <c r="B88" s="73"/>
      <c r="C88" s="198"/>
      <c r="D88" s="199">
        <v>9201020702</v>
      </c>
      <c r="E88" s="71" t="s">
        <v>2863</v>
      </c>
      <c r="F88" s="61"/>
      <c r="G88" s="62" t="s">
        <v>33</v>
      </c>
      <c r="H88" s="83">
        <v>2</v>
      </c>
    </row>
    <row r="89" spans="1:8" customFormat="1" ht="15">
      <c r="A89" s="34"/>
      <c r="B89" s="125"/>
      <c r="C89" s="125"/>
      <c r="D89" s="601"/>
      <c r="E89" s="168" t="s">
        <v>2864</v>
      </c>
      <c r="F89" s="603">
        <v>1</v>
      </c>
      <c r="G89" s="32"/>
      <c r="H89" s="83"/>
    </row>
    <row r="90" spans="1:8" customFormat="1" ht="15">
      <c r="A90" s="34"/>
      <c r="B90" s="125"/>
      <c r="C90" s="125"/>
      <c r="D90" s="601"/>
      <c r="E90" s="168" t="s">
        <v>2865</v>
      </c>
      <c r="F90" s="705">
        <v>1</v>
      </c>
      <c r="G90" s="32"/>
      <c r="H90" s="83"/>
    </row>
    <row r="91" spans="1:8" customFormat="1" ht="15">
      <c r="A91" s="34"/>
      <c r="B91" s="125"/>
      <c r="C91" s="125"/>
      <c r="D91" s="601"/>
      <c r="E91" s="168" t="s">
        <v>1130</v>
      </c>
      <c r="F91" s="706">
        <f>SUM(F88:F90)</f>
        <v>2</v>
      </c>
      <c r="G91" s="32"/>
      <c r="H91" s="83"/>
    </row>
    <row r="92" spans="1:8" customFormat="1" ht="15">
      <c r="A92" s="34"/>
      <c r="B92" s="12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19</v>
      </c>
      <c r="B93" s="43"/>
      <c r="C93" s="195">
        <v>92020102</v>
      </c>
      <c r="D93" s="196"/>
      <c r="E93" s="38" t="s">
        <v>756</v>
      </c>
      <c r="F93" s="39"/>
      <c r="G93" s="40" t="s">
        <v>36</v>
      </c>
      <c r="H93" s="64">
        <v>82</v>
      </c>
    </row>
    <row r="94" spans="1:8" customFormat="1" ht="25.5">
      <c r="A94" s="34"/>
      <c r="B94" s="73"/>
      <c r="C94" s="198"/>
      <c r="D94" s="199">
        <v>9202010205</v>
      </c>
      <c r="E94" s="71" t="s">
        <v>757</v>
      </c>
      <c r="F94" s="61"/>
      <c r="G94" s="62" t="s">
        <v>36</v>
      </c>
      <c r="H94" s="83">
        <v>82</v>
      </c>
    </row>
    <row r="95" spans="1:8" customFormat="1" ht="15">
      <c r="A95" s="34"/>
      <c r="B95" s="125"/>
      <c r="C95" s="125"/>
      <c r="D95" s="601"/>
      <c r="E95" s="168" t="s">
        <v>1383</v>
      </c>
      <c r="F95" s="603">
        <v>82</v>
      </c>
      <c r="G95" s="32"/>
      <c r="H95" s="83"/>
    </row>
    <row r="96" spans="1:8" customFormat="1" ht="15">
      <c r="A96" s="34"/>
      <c r="B96" s="125"/>
      <c r="C96" s="125"/>
      <c r="D96" s="601"/>
      <c r="E96" s="168"/>
      <c r="F96" s="603"/>
      <c r="G96" s="32"/>
      <c r="H96" s="83"/>
    </row>
    <row r="97" spans="1:10" customFormat="1" ht="25.5">
      <c r="A97" s="34">
        <f>MAX(A$1:A96)+1</f>
        <v>20</v>
      </c>
      <c r="B97" s="43"/>
      <c r="C97" s="195">
        <v>92020105</v>
      </c>
      <c r="D97" s="196"/>
      <c r="E97" s="38" t="s">
        <v>2768</v>
      </c>
      <c r="F97" s="39"/>
      <c r="G97" s="40" t="s">
        <v>36</v>
      </c>
      <c r="H97" s="64">
        <v>12</v>
      </c>
    </row>
    <row r="98" spans="1:10" customFormat="1" ht="25.5">
      <c r="A98" s="34"/>
      <c r="B98" s="73"/>
      <c r="C98" s="198"/>
      <c r="D98" s="199">
        <v>9202010513</v>
      </c>
      <c r="E98" s="71" t="s">
        <v>2769</v>
      </c>
      <c r="F98" s="61"/>
      <c r="G98" s="62" t="s">
        <v>36</v>
      </c>
      <c r="H98" s="83">
        <v>12</v>
      </c>
    </row>
    <row r="99" spans="1:10" customFormat="1" ht="15">
      <c r="A99" s="34"/>
      <c r="B99" s="125"/>
      <c r="C99" s="125"/>
      <c r="D99" s="601"/>
      <c r="E99" s="168" t="s">
        <v>1385</v>
      </c>
      <c r="F99" s="603">
        <v>12</v>
      </c>
      <c r="G99" s="32"/>
      <c r="H99" s="83"/>
    </row>
    <row r="100" spans="1:10" customFormat="1" ht="15">
      <c r="A100" s="34"/>
      <c r="B100" s="125"/>
      <c r="C100" s="125"/>
      <c r="D100" s="601"/>
      <c r="E100" s="168"/>
      <c r="F100" s="603"/>
      <c r="G100" s="32"/>
      <c r="H100" s="83"/>
    </row>
    <row r="101" spans="1:10" customFormat="1" ht="25.5">
      <c r="A101" s="34">
        <f>MAX(A$1:A100)+1</f>
        <v>21</v>
      </c>
      <c r="B101" s="43"/>
      <c r="C101" s="195">
        <v>92020107</v>
      </c>
      <c r="D101" s="196"/>
      <c r="E101" s="38" t="s">
        <v>2697</v>
      </c>
      <c r="F101" s="39"/>
      <c r="G101" s="40" t="s">
        <v>36</v>
      </c>
      <c r="H101" s="64">
        <v>109</v>
      </c>
      <c r="J101" s="208"/>
    </row>
    <row r="102" spans="1:10" customFormat="1" ht="25.5">
      <c r="A102" s="34"/>
      <c r="B102" s="73"/>
      <c r="C102" s="198"/>
      <c r="D102" s="199">
        <v>9202010705</v>
      </c>
      <c r="E102" s="71" t="s">
        <v>2698</v>
      </c>
      <c r="F102" s="61"/>
      <c r="G102" s="62" t="s">
        <v>36</v>
      </c>
      <c r="H102" s="83">
        <v>109</v>
      </c>
    </row>
    <row r="103" spans="1:10" customFormat="1" ht="15">
      <c r="A103" s="34"/>
      <c r="B103" s="125"/>
      <c r="C103" s="125"/>
      <c r="D103" s="601"/>
      <c r="E103" s="168" t="s">
        <v>2770</v>
      </c>
      <c r="F103" s="603">
        <v>109</v>
      </c>
      <c r="G103" s="32"/>
      <c r="H103" s="83"/>
    </row>
    <row r="104" spans="1:10" customFormat="1" ht="15">
      <c r="A104" s="34"/>
      <c r="B104" s="125"/>
      <c r="C104" s="125"/>
      <c r="D104" s="601"/>
      <c r="E104" s="168"/>
      <c r="F104" s="603"/>
      <c r="G104" s="32"/>
      <c r="H104" s="83"/>
    </row>
    <row r="105" spans="1:10" customFormat="1" ht="25.5">
      <c r="A105" s="34">
        <f>MAX(A$1:A104)+1</f>
        <v>22</v>
      </c>
      <c r="B105" s="43"/>
      <c r="C105" s="195">
        <v>92020301</v>
      </c>
      <c r="D105" s="196"/>
      <c r="E105" s="38" t="s">
        <v>476</v>
      </c>
      <c r="F105" s="39"/>
      <c r="G105" s="40" t="s">
        <v>33</v>
      </c>
      <c r="H105" s="64">
        <v>6</v>
      </c>
    </row>
    <row r="106" spans="1:10" customFormat="1" ht="25.5">
      <c r="A106" s="34"/>
      <c r="B106" s="73"/>
      <c r="C106" s="198"/>
      <c r="D106" s="199">
        <v>9202030101</v>
      </c>
      <c r="E106" s="71" t="s">
        <v>477</v>
      </c>
      <c r="F106" s="61"/>
      <c r="G106" s="62" t="s">
        <v>33</v>
      </c>
      <c r="H106" s="83">
        <v>2</v>
      </c>
    </row>
    <row r="107" spans="1:10" customFormat="1" ht="15">
      <c r="A107" s="34"/>
      <c r="B107" s="125"/>
      <c r="C107" s="125"/>
      <c r="D107" s="601"/>
      <c r="E107" s="168" t="s">
        <v>1383</v>
      </c>
      <c r="F107" s="603">
        <v>2</v>
      </c>
      <c r="G107" s="32"/>
      <c r="H107" s="83"/>
    </row>
    <row r="108" spans="1:10" customFormat="1" ht="25.5">
      <c r="A108" s="34"/>
      <c r="B108" s="73"/>
      <c r="C108" s="198"/>
      <c r="D108" s="199">
        <v>9202030102</v>
      </c>
      <c r="E108" s="71" t="s">
        <v>490</v>
      </c>
      <c r="F108" s="61"/>
      <c r="G108" s="62" t="s">
        <v>33</v>
      </c>
      <c r="H108" s="83">
        <v>2</v>
      </c>
    </row>
    <row r="109" spans="1:10" customFormat="1" ht="15">
      <c r="A109" s="34"/>
      <c r="B109" s="125"/>
      <c r="C109" s="125"/>
      <c r="D109" s="601"/>
      <c r="E109" s="168" t="s">
        <v>1385</v>
      </c>
      <c r="F109" s="603">
        <v>2</v>
      </c>
      <c r="G109" s="32"/>
      <c r="H109" s="83"/>
    </row>
    <row r="110" spans="1:10" customFormat="1" ht="25.5">
      <c r="A110" s="34"/>
      <c r="B110" s="73"/>
      <c r="C110" s="198"/>
      <c r="D110" s="199">
        <v>9202030103</v>
      </c>
      <c r="E110" s="71" t="s">
        <v>2782</v>
      </c>
      <c r="F110" s="61"/>
      <c r="G110" s="62" t="s">
        <v>33</v>
      </c>
      <c r="H110" s="83">
        <v>2</v>
      </c>
    </row>
    <row r="111" spans="1:10" customFormat="1" ht="15">
      <c r="A111" s="34"/>
      <c r="B111" s="125"/>
      <c r="C111" s="125"/>
      <c r="D111" s="601"/>
      <c r="E111" s="168" t="s">
        <v>2770</v>
      </c>
      <c r="F111" s="603">
        <v>2</v>
      </c>
      <c r="G111" s="32"/>
      <c r="H111" s="83"/>
    </row>
    <row r="112" spans="1:10" customFormat="1" ht="15">
      <c r="A112" s="34"/>
      <c r="B112" s="125"/>
      <c r="C112" s="125"/>
      <c r="D112" s="601"/>
      <c r="E112" s="168"/>
      <c r="F112" s="603"/>
      <c r="G112" s="32"/>
      <c r="H112" s="83"/>
    </row>
    <row r="113" spans="1:8" customFormat="1" ht="25.5">
      <c r="A113" s="34">
        <f>MAX(A$1:A112)+1</f>
        <v>23</v>
      </c>
      <c r="B113" s="43"/>
      <c r="C113" s="195">
        <v>92020401</v>
      </c>
      <c r="D113" s="196"/>
      <c r="E113" s="38" t="s">
        <v>2702</v>
      </c>
      <c r="F113" s="39"/>
      <c r="G113" s="40" t="s">
        <v>36</v>
      </c>
      <c r="H113" s="64">
        <v>79</v>
      </c>
    </row>
    <row r="114" spans="1:8" customFormat="1" ht="25.5">
      <c r="A114" s="34"/>
      <c r="B114" s="73"/>
      <c r="C114" s="198"/>
      <c r="D114" s="199">
        <v>9202040101</v>
      </c>
      <c r="E114" s="71" t="s">
        <v>2703</v>
      </c>
      <c r="F114" s="61"/>
      <c r="G114" s="62" t="s">
        <v>36</v>
      </c>
      <c r="H114" s="83">
        <v>79</v>
      </c>
    </row>
    <row r="115" spans="1:8" customFormat="1" ht="15">
      <c r="A115" s="34"/>
      <c r="B115" s="125"/>
      <c r="C115" s="125"/>
      <c r="D115" s="601"/>
      <c r="E115" s="168" t="s">
        <v>2783</v>
      </c>
      <c r="F115" s="603">
        <v>79</v>
      </c>
      <c r="G115" s="32"/>
      <c r="H115" s="83"/>
    </row>
    <row r="116" spans="1:8" customFormat="1" ht="15">
      <c r="A116" s="34"/>
      <c r="B116" s="125"/>
      <c r="C116" s="125"/>
      <c r="D116" s="601"/>
      <c r="E116" s="168"/>
      <c r="F116" s="603"/>
      <c r="G116" s="32"/>
      <c r="H116" s="83"/>
    </row>
    <row r="117" spans="1:8" customFormat="1" ht="25.5">
      <c r="A117" s="34">
        <f>MAX(A$1:A116)+1</f>
        <v>24</v>
      </c>
      <c r="B117" s="43"/>
      <c r="C117" s="195">
        <v>92020702</v>
      </c>
      <c r="D117" s="196"/>
      <c r="E117" s="38" t="s">
        <v>718</v>
      </c>
      <c r="F117" s="39"/>
      <c r="G117" s="40" t="s">
        <v>33</v>
      </c>
      <c r="H117" s="64">
        <v>10</v>
      </c>
    </row>
    <row r="118" spans="1:8" customFormat="1" ht="25.5">
      <c r="A118" s="34"/>
      <c r="B118" s="73"/>
      <c r="C118" s="198"/>
      <c r="D118" s="199">
        <v>9202070202</v>
      </c>
      <c r="E118" s="71" t="s">
        <v>719</v>
      </c>
      <c r="F118" s="61"/>
      <c r="G118" s="62" t="s">
        <v>33</v>
      </c>
      <c r="H118" s="83">
        <v>10</v>
      </c>
    </row>
    <row r="119" spans="1:8" customFormat="1" ht="15">
      <c r="A119" s="34"/>
      <c r="B119" s="125"/>
      <c r="C119" s="125"/>
      <c r="D119" s="601"/>
      <c r="E119" s="168" t="s">
        <v>1386</v>
      </c>
      <c r="F119" s="603">
        <v>10</v>
      </c>
      <c r="G119" s="32"/>
      <c r="H119" s="83"/>
    </row>
    <row r="120" spans="1:8" customFormat="1" ht="15">
      <c r="A120" s="34"/>
      <c r="B120" s="125"/>
      <c r="C120" s="125"/>
      <c r="D120" s="601"/>
      <c r="E120" s="168"/>
      <c r="F120" s="603"/>
      <c r="G120" s="32"/>
      <c r="H120" s="83"/>
    </row>
    <row r="121" spans="1:8" customFormat="1" ht="25.5">
      <c r="A121" s="34">
        <f>MAX(A$1:A120)+1</f>
        <v>25</v>
      </c>
      <c r="B121" s="43"/>
      <c r="C121" s="195">
        <v>92022501</v>
      </c>
      <c r="D121" s="196"/>
      <c r="E121" s="38" t="s">
        <v>478</v>
      </c>
      <c r="F121" s="39"/>
      <c r="G121" s="40" t="s">
        <v>33</v>
      </c>
      <c r="H121" s="64">
        <v>15</v>
      </c>
    </row>
    <row r="122" spans="1:8" customFormat="1" ht="25.5">
      <c r="A122" s="34"/>
      <c r="B122" s="73"/>
      <c r="C122" s="198"/>
      <c r="D122" s="199">
        <v>9202250101</v>
      </c>
      <c r="E122" s="71" t="s">
        <v>758</v>
      </c>
      <c r="F122" s="61"/>
      <c r="G122" s="62" t="s">
        <v>33</v>
      </c>
      <c r="H122" s="83">
        <v>3</v>
      </c>
    </row>
    <row r="123" spans="1:8" customFormat="1" ht="15">
      <c r="A123" s="34"/>
      <c r="B123" s="73"/>
      <c r="C123" s="198"/>
      <c r="D123" s="199"/>
      <c r="E123" s="168" t="s">
        <v>1383</v>
      </c>
      <c r="F123" s="603">
        <v>1</v>
      </c>
      <c r="G123" s="62"/>
      <c r="H123" s="83"/>
    </row>
    <row r="124" spans="1:8" customFormat="1" ht="15">
      <c r="A124" s="34"/>
      <c r="B124" s="73"/>
      <c r="C124" s="198"/>
      <c r="D124" s="199"/>
      <c r="E124" s="168" t="s">
        <v>1385</v>
      </c>
      <c r="F124" s="603">
        <v>1</v>
      </c>
      <c r="G124" s="62"/>
      <c r="H124" s="83"/>
    </row>
    <row r="125" spans="1:8" customFormat="1" ht="15">
      <c r="A125" s="34"/>
      <c r="B125" s="73"/>
      <c r="C125" s="198"/>
      <c r="D125" s="199"/>
      <c r="E125" s="168" t="s">
        <v>2770</v>
      </c>
      <c r="F125" s="705">
        <v>1</v>
      </c>
      <c r="G125" s="62"/>
      <c r="H125" s="83"/>
    </row>
    <row r="126" spans="1:8" customFormat="1" ht="15">
      <c r="A126" s="34"/>
      <c r="B126" s="73"/>
      <c r="C126" s="198"/>
      <c r="D126" s="199"/>
      <c r="E126" s="168" t="s">
        <v>1130</v>
      </c>
      <c r="F126" s="706">
        <f>SUM(F123:F125)</f>
        <v>3</v>
      </c>
      <c r="G126" s="62"/>
      <c r="H126" s="83"/>
    </row>
    <row r="127" spans="1:8" customFormat="1" ht="25.5">
      <c r="A127" s="34"/>
      <c r="B127" s="73"/>
      <c r="C127" s="198"/>
      <c r="D127" s="199">
        <v>9202250102</v>
      </c>
      <c r="E127" s="71" t="s">
        <v>479</v>
      </c>
      <c r="F127" s="61"/>
      <c r="G127" s="62" t="s">
        <v>33</v>
      </c>
      <c r="H127" s="83">
        <v>3</v>
      </c>
    </row>
    <row r="128" spans="1:8" customFormat="1" ht="15">
      <c r="A128" s="34"/>
      <c r="B128" s="73"/>
      <c r="C128" s="198"/>
      <c r="D128" s="199"/>
      <c r="E128" s="168" t="s">
        <v>1383</v>
      </c>
      <c r="F128" s="603">
        <v>1</v>
      </c>
      <c r="G128" s="62"/>
      <c r="H128" s="83"/>
    </row>
    <row r="129" spans="1:8" customFormat="1" ht="15">
      <c r="A129" s="34"/>
      <c r="B129" s="73"/>
      <c r="C129" s="198"/>
      <c r="D129" s="199"/>
      <c r="E129" s="168" t="s">
        <v>1385</v>
      </c>
      <c r="F129" s="603">
        <v>1</v>
      </c>
      <c r="G129" s="62"/>
      <c r="H129" s="83"/>
    </row>
    <row r="130" spans="1:8" customFormat="1" ht="15">
      <c r="A130" s="34"/>
      <c r="B130" s="73"/>
      <c r="C130" s="198"/>
      <c r="D130" s="199"/>
      <c r="E130" s="168" t="s">
        <v>2770</v>
      </c>
      <c r="F130" s="705">
        <v>1</v>
      </c>
      <c r="G130" s="62"/>
      <c r="H130" s="83"/>
    </row>
    <row r="131" spans="1:8" customFormat="1" ht="15">
      <c r="A131" s="34"/>
      <c r="B131" s="73"/>
      <c r="C131" s="198"/>
      <c r="D131" s="199"/>
      <c r="E131" s="168" t="s">
        <v>1130</v>
      </c>
      <c r="F131" s="706">
        <f>SUM(F128:F130)</f>
        <v>3</v>
      </c>
      <c r="G131" s="62"/>
      <c r="H131" s="83"/>
    </row>
    <row r="132" spans="1:8" customFormat="1" ht="25.5">
      <c r="A132" s="34"/>
      <c r="B132" s="73"/>
      <c r="C132" s="198"/>
      <c r="D132" s="199">
        <v>9202250104</v>
      </c>
      <c r="E132" s="71" t="s">
        <v>722</v>
      </c>
      <c r="F132" s="61"/>
      <c r="G132" s="62" t="s">
        <v>33</v>
      </c>
      <c r="H132" s="83">
        <v>6</v>
      </c>
    </row>
    <row r="133" spans="1:8" customFormat="1" ht="15">
      <c r="A133" s="34"/>
      <c r="B133" s="73"/>
      <c r="C133" s="198"/>
      <c r="D133" s="199"/>
      <c r="E133" s="168" t="s">
        <v>1387</v>
      </c>
      <c r="F133" s="603">
        <v>6</v>
      </c>
      <c r="G133" s="62"/>
      <c r="H133" s="83"/>
    </row>
    <row r="134" spans="1:8" customFormat="1" ht="25.5">
      <c r="A134" s="34"/>
      <c r="B134" s="73"/>
      <c r="C134" s="198"/>
      <c r="D134" s="199">
        <v>9202250111</v>
      </c>
      <c r="E134" s="71" t="s">
        <v>743</v>
      </c>
      <c r="F134" s="61"/>
      <c r="G134" s="62" t="s">
        <v>33</v>
      </c>
      <c r="H134" s="83">
        <v>3</v>
      </c>
    </row>
    <row r="135" spans="1:8" customFormat="1" ht="15">
      <c r="A135" s="34"/>
      <c r="B135" s="125"/>
      <c r="C135" s="125"/>
      <c r="D135" s="601"/>
      <c r="E135" s="168" t="s">
        <v>1383</v>
      </c>
      <c r="F135" s="603">
        <v>1</v>
      </c>
      <c r="G135" s="32"/>
      <c r="H135" s="83"/>
    </row>
    <row r="136" spans="1:8" customFormat="1" ht="15">
      <c r="A136" s="34"/>
      <c r="B136" s="125"/>
      <c r="C136" s="125"/>
      <c r="D136" s="601"/>
      <c r="E136" s="168" t="s">
        <v>1385</v>
      </c>
      <c r="F136" s="603">
        <v>1</v>
      </c>
      <c r="G136" s="32"/>
      <c r="H136" s="83"/>
    </row>
    <row r="137" spans="1:8" customFormat="1" ht="15">
      <c r="A137" s="34"/>
      <c r="B137" s="125"/>
      <c r="C137" s="125"/>
      <c r="D137" s="601"/>
      <c r="E137" s="168" t="s">
        <v>2770</v>
      </c>
      <c r="F137" s="705">
        <v>1</v>
      </c>
      <c r="G137" s="32"/>
      <c r="H137" s="83"/>
    </row>
    <row r="138" spans="1:8" customFormat="1" ht="15">
      <c r="A138" s="34"/>
      <c r="B138" s="125"/>
      <c r="C138" s="125"/>
      <c r="D138" s="601"/>
      <c r="E138" s="168" t="s">
        <v>1130</v>
      </c>
      <c r="F138" s="706">
        <f>SUM(F135:F137)</f>
        <v>3</v>
      </c>
      <c r="G138" s="32"/>
      <c r="H138" s="83"/>
    </row>
    <row r="139" spans="1:8" customFormat="1" ht="15">
      <c r="A139" s="34"/>
      <c r="B139" s="125"/>
      <c r="C139" s="125"/>
      <c r="D139" s="601"/>
      <c r="E139" s="168"/>
      <c r="F139" s="603"/>
      <c r="G139" s="32"/>
      <c r="H139" s="83"/>
    </row>
    <row r="140" spans="1:8" customFormat="1" ht="25.5">
      <c r="A140" s="34">
        <f>MAX(A$1:A139)+1</f>
        <v>26</v>
      </c>
      <c r="B140" s="43"/>
      <c r="C140" s="195">
        <v>92022705</v>
      </c>
      <c r="D140" s="196"/>
      <c r="E140" s="38" t="s">
        <v>2784</v>
      </c>
      <c r="F140" s="39"/>
      <c r="G140" s="40" t="s">
        <v>33</v>
      </c>
      <c r="H140" s="64">
        <v>3</v>
      </c>
    </row>
    <row r="141" spans="1:8" customFormat="1" ht="25.5">
      <c r="A141" s="34"/>
      <c r="B141" s="125"/>
      <c r="C141" s="125"/>
      <c r="D141" s="198">
        <v>9202270506</v>
      </c>
      <c r="E141" s="71" t="s">
        <v>2785</v>
      </c>
      <c r="F141" s="61"/>
      <c r="G141" s="62" t="s">
        <v>33</v>
      </c>
      <c r="H141" s="83">
        <v>3</v>
      </c>
    </row>
    <row r="142" spans="1:8" customFormat="1" ht="15">
      <c r="A142" s="34"/>
      <c r="B142" s="125"/>
      <c r="C142" s="125"/>
      <c r="D142" s="601"/>
      <c r="E142" s="168" t="s">
        <v>2786</v>
      </c>
      <c r="F142" s="603">
        <v>1</v>
      </c>
      <c r="G142" s="32"/>
      <c r="H142" s="83"/>
    </row>
    <row r="143" spans="1:8" customFormat="1" ht="15">
      <c r="A143" s="34"/>
      <c r="B143" s="125"/>
      <c r="C143" s="125"/>
      <c r="D143" s="601"/>
      <c r="E143" s="168" t="s">
        <v>2866</v>
      </c>
      <c r="F143" s="603">
        <v>1</v>
      </c>
      <c r="G143" s="32"/>
      <c r="H143" s="83"/>
    </row>
    <row r="144" spans="1:8" customFormat="1" ht="15">
      <c r="A144" s="34"/>
      <c r="B144" s="125"/>
      <c r="C144" s="125"/>
      <c r="D144" s="601"/>
      <c r="E144" s="168" t="s">
        <v>2787</v>
      </c>
      <c r="F144" s="705">
        <v>1</v>
      </c>
      <c r="G144" s="32"/>
      <c r="H144" s="83"/>
    </row>
    <row r="145" spans="1:8" customFormat="1" ht="15">
      <c r="A145" s="34"/>
      <c r="B145" s="125"/>
      <c r="C145" s="125"/>
      <c r="D145" s="601"/>
      <c r="E145" s="168" t="s">
        <v>1130</v>
      </c>
      <c r="F145" s="706">
        <f>SUM(F142:F144)</f>
        <v>3</v>
      </c>
      <c r="G145" s="32"/>
      <c r="H145" s="83"/>
    </row>
    <row r="146" spans="1:8" customFormat="1" ht="15">
      <c r="A146" s="34"/>
      <c r="B146" s="125"/>
      <c r="C146" s="125"/>
      <c r="D146" s="601"/>
      <c r="E146" s="168"/>
      <c r="F146" s="603"/>
      <c r="G146" s="32"/>
      <c r="H146" s="83"/>
    </row>
    <row r="147" spans="1:8" customFormat="1" ht="25.5">
      <c r="A147" s="34">
        <f>MAX(A$1:A146)+1</f>
        <v>27</v>
      </c>
      <c r="B147" s="43"/>
      <c r="C147" s="195">
        <v>92022801</v>
      </c>
      <c r="D147" s="196"/>
      <c r="E147" s="38" t="s">
        <v>2867</v>
      </c>
      <c r="F147" s="39"/>
      <c r="G147" s="40" t="s">
        <v>36</v>
      </c>
      <c r="H147" s="64">
        <v>3</v>
      </c>
    </row>
    <row r="148" spans="1:8" customFormat="1" ht="25.5">
      <c r="A148" s="34"/>
      <c r="B148" s="73"/>
      <c r="C148" s="198"/>
      <c r="D148" s="199">
        <v>9202280104</v>
      </c>
      <c r="E148" s="71" t="s">
        <v>2868</v>
      </c>
      <c r="F148" s="61"/>
      <c r="G148" s="62" t="s">
        <v>33</v>
      </c>
      <c r="H148" s="83">
        <v>3</v>
      </c>
    </row>
    <row r="149" spans="1:8" customFormat="1" ht="15">
      <c r="A149" s="34"/>
      <c r="B149" s="125"/>
      <c r="C149" s="125"/>
      <c r="D149" s="601"/>
      <c r="E149" s="168" t="s">
        <v>2869</v>
      </c>
      <c r="F149" s="603">
        <v>1</v>
      </c>
      <c r="G149" s="32"/>
      <c r="H149" s="83"/>
    </row>
    <row r="150" spans="1:8" customFormat="1" ht="15">
      <c r="A150" s="34"/>
      <c r="B150" s="125"/>
      <c r="C150" s="125"/>
      <c r="D150" s="601"/>
      <c r="E150" s="168" t="s">
        <v>2870</v>
      </c>
      <c r="F150" s="705">
        <v>2</v>
      </c>
      <c r="G150" s="32"/>
      <c r="H150" s="83"/>
    </row>
    <row r="151" spans="1:8" customFormat="1" ht="15">
      <c r="A151" s="34"/>
      <c r="B151" s="125"/>
      <c r="C151" s="125"/>
      <c r="D151" s="601"/>
      <c r="E151" s="168" t="s">
        <v>1130</v>
      </c>
      <c r="F151" s="706">
        <f>SUM(F148:F150)</f>
        <v>3</v>
      </c>
      <c r="G151" s="32"/>
      <c r="H151" s="83"/>
    </row>
    <row r="152" spans="1:8" customFormat="1" ht="15">
      <c r="A152" s="34"/>
      <c r="B152" s="125"/>
      <c r="C152" s="125"/>
      <c r="D152" s="601"/>
      <c r="E152" s="168"/>
      <c r="F152" s="603"/>
      <c r="G152" s="32"/>
      <c r="H152" s="83"/>
    </row>
    <row r="153" spans="1:8" customFormat="1" ht="25.5">
      <c r="A153" s="34">
        <f>MAX(A$1:A152)+1</f>
        <v>28</v>
      </c>
      <c r="B153" s="43"/>
      <c r="C153" s="195">
        <v>92022901</v>
      </c>
      <c r="D153" s="196"/>
      <c r="E153" s="38" t="s">
        <v>2871</v>
      </c>
      <c r="F153" s="39"/>
      <c r="G153" s="40" t="s">
        <v>36</v>
      </c>
      <c r="H153" s="64">
        <v>25.5</v>
      </c>
    </row>
    <row r="154" spans="1:8" customFormat="1" ht="25.5">
      <c r="A154" s="34"/>
      <c r="B154" s="73"/>
      <c r="C154" s="198"/>
      <c r="D154" s="199">
        <v>9202290101</v>
      </c>
      <c r="E154" s="71" t="s">
        <v>2872</v>
      </c>
      <c r="F154" s="61"/>
      <c r="G154" s="62" t="s">
        <v>36</v>
      </c>
      <c r="H154" s="83">
        <v>13.5</v>
      </c>
    </row>
    <row r="155" spans="1:8" customFormat="1" ht="15">
      <c r="A155" s="34"/>
      <c r="B155" s="73"/>
      <c r="C155" s="198"/>
      <c r="D155" s="199"/>
      <c r="E155" s="168" t="s">
        <v>2873</v>
      </c>
      <c r="F155" s="603">
        <v>13.5</v>
      </c>
      <c r="G155" s="62"/>
      <c r="H155" s="83"/>
    </row>
    <row r="156" spans="1:8" customFormat="1" ht="25.5">
      <c r="A156" s="34"/>
      <c r="B156" s="73"/>
      <c r="C156" s="198"/>
      <c r="D156" s="199">
        <v>9202290102</v>
      </c>
      <c r="E156" s="71" t="s">
        <v>2874</v>
      </c>
      <c r="F156" s="61"/>
      <c r="G156" s="62" t="s">
        <v>36</v>
      </c>
      <c r="H156" s="83">
        <v>12</v>
      </c>
    </row>
    <row r="157" spans="1:8" customFormat="1" ht="15">
      <c r="A157" s="34"/>
      <c r="B157" s="43"/>
      <c r="C157" s="195"/>
      <c r="D157" s="196"/>
      <c r="E157" s="168" t="s">
        <v>2875</v>
      </c>
      <c r="F157" s="603">
        <v>12</v>
      </c>
      <c r="G157" s="40"/>
      <c r="H157" s="83"/>
    </row>
    <row r="158" spans="1:8" customFormat="1" ht="15">
      <c r="A158" s="34"/>
      <c r="B158" s="43"/>
      <c r="C158" s="195"/>
      <c r="D158" s="196"/>
      <c r="E158" s="38"/>
      <c r="F158" s="39"/>
      <c r="G158" s="40"/>
      <c r="H158" s="83"/>
    </row>
    <row r="159" spans="1:8" customFormat="1" ht="25.5">
      <c r="A159" s="34">
        <f>MAX(A$1:A158)+1</f>
        <v>29</v>
      </c>
      <c r="B159" s="43"/>
      <c r="C159" s="195">
        <v>92050303</v>
      </c>
      <c r="D159" s="196"/>
      <c r="E159" s="38" t="s">
        <v>2876</v>
      </c>
      <c r="F159" s="39"/>
      <c r="G159" s="40" t="s">
        <v>33</v>
      </c>
      <c r="H159" s="64">
        <v>1</v>
      </c>
    </row>
    <row r="160" spans="1:8" ht="25.5">
      <c r="A160" s="34"/>
      <c r="B160" s="73"/>
      <c r="C160" s="198"/>
      <c r="D160" s="199">
        <v>9205030302</v>
      </c>
      <c r="E160" s="71" t="s">
        <v>2877</v>
      </c>
      <c r="F160" s="61"/>
      <c r="G160" s="62" t="s">
        <v>33</v>
      </c>
      <c r="H160" s="83">
        <v>1</v>
      </c>
    </row>
    <row r="161" spans="1:8">
      <c r="A161" s="34"/>
      <c r="B161" s="43"/>
      <c r="C161" s="195"/>
      <c r="D161" s="196"/>
      <c r="E161" s="168" t="s">
        <v>2878</v>
      </c>
      <c r="F161" s="603">
        <v>1</v>
      </c>
      <c r="G161" s="40"/>
      <c r="H161" s="83"/>
    </row>
    <row r="162" spans="1:8">
      <c r="A162" s="34"/>
      <c r="B162" s="43"/>
      <c r="C162" s="195"/>
      <c r="D162" s="196"/>
      <c r="E162" s="38"/>
      <c r="F162" s="39"/>
      <c r="G162" s="40"/>
      <c r="H162" s="83"/>
    </row>
    <row r="163" spans="1:8" ht="25.5">
      <c r="A163" s="34">
        <f>MAX(A$1:A162)+1</f>
        <v>30</v>
      </c>
      <c r="B163" s="43"/>
      <c r="C163" s="195">
        <v>92050308</v>
      </c>
      <c r="D163" s="196"/>
      <c r="E163" s="38" t="s">
        <v>2879</v>
      </c>
      <c r="F163" s="39"/>
      <c r="G163" s="40" t="s">
        <v>33</v>
      </c>
      <c r="H163" s="64">
        <v>1</v>
      </c>
    </row>
    <row r="164" spans="1:8" ht="25.5">
      <c r="A164" s="72"/>
      <c r="B164" s="73"/>
      <c r="C164" s="198"/>
      <c r="D164" s="199">
        <v>9205030802</v>
      </c>
      <c r="E164" s="71" t="s">
        <v>2880</v>
      </c>
      <c r="F164" s="61"/>
      <c r="G164" s="62" t="s">
        <v>33</v>
      </c>
      <c r="H164" s="83">
        <v>1</v>
      </c>
    </row>
    <row r="165" spans="1:8" ht="15">
      <c r="A165" s="72"/>
      <c r="B165" s="43"/>
      <c r="C165" s="195"/>
      <c r="D165" s="196"/>
      <c r="E165" s="168" t="s">
        <v>2881</v>
      </c>
      <c r="F165" s="603">
        <v>1</v>
      </c>
      <c r="G165" s="40"/>
      <c r="H165" s="83"/>
    </row>
    <row r="166" spans="1:8">
      <c r="A166" s="34"/>
      <c r="B166" s="43"/>
      <c r="C166" s="36"/>
      <c r="D166" s="37"/>
      <c r="E166" s="38"/>
      <c r="F166" s="46"/>
      <c r="G166" s="40"/>
      <c r="H166" s="254"/>
    </row>
    <row r="167" spans="1:8" ht="15">
      <c r="A167" s="72"/>
      <c r="B167" s="73"/>
      <c r="C167" s="66"/>
      <c r="D167" s="67"/>
      <c r="E167" s="84"/>
      <c r="F167" s="90"/>
      <c r="G167" s="62"/>
      <c r="H167" s="99"/>
    </row>
    <row r="168" spans="1:8" ht="13.5" thickBot="1">
      <c r="A168" s="106"/>
      <c r="B168" s="107"/>
      <c r="C168" s="107"/>
      <c r="D168" s="107"/>
      <c r="E168" s="108"/>
      <c r="F168" s="109"/>
      <c r="G168" s="107"/>
      <c r="H168" s="110"/>
    </row>
  </sheetData>
  <sheetProtection algorithmName="SHA-512" hashValue="oW52ATpfCo0r5MCAAaIV2I6GPu0Sj9Vx01eplXd6SOqQLBaARF3dtPze50TbtgkiTT2SMDXUPtbKAyFMfGax9w==" saltValue="QpXjBuBkwvlOl24ODNXcK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AEC3F-2858-4A19-BD60-8E6539D722E5}">
  <sheetPr codeName="Hárok44"/>
  <dimension ref="A1:M10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2893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 customFormat="1" ht="15">
      <c r="A7" s="47"/>
      <c r="B7" s="24"/>
      <c r="C7" s="25"/>
      <c r="D7" s="26"/>
      <c r="E7" s="27"/>
      <c r="F7" s="27"/>
      <c r="G7" s="114"/>
      <c r="H7" s="42"/>
    </row>
    <row r="8" spans="1:8" customFormat="1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 customFormat="1" ht="15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 customFormat="1" ht="15">
      <c r="A10" s="23"/>
      <c r="B10" s="31"/>
      <c r="C10" s="31"/>
      <c r="D10" s="32"/>
      <c r="E10" s="33"/>
      <c r="F10" s="28"/>
      <c r="G10" s="29"/>
      <c r="H10" s="30"/>
    </row>
    <row r="11" spans="1:8" customFormat="1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 customFormat="1" ht="15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 customFormat="1" ht="15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 customFormat="1" ht="15">
      <c r="A14" s="34"/>
      <c r="B14" s="125"/>
      <c r="C14" s="125"/>
      <c r="D14" s="601"/>
      <c r="E14" s="193"/>
      <c r="F14" s="603"/>
      <c r="G14" s="32"/>
      <c r="H14" s="83"/>
    </row>
    <row r="15" spans="1:8" customFormat="1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 customFormat="1" ht="15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15.75">
      <c r="A18" s="47"/>
      <c r="B18" s="24" t="s">
        <v>19</v>
      </c>
      <c r="C18" s="48"/>
      <c r="D18" s="49"/>
      <c r="E18" s="50" t="s">
        <v>20</v>
      </c>
      <c r="F18" s="1248"/>
      <c r="G18" s="32"/>
      <c r="H18" s="83"/>
    </row>
    <row r="19" spans="1:8" customFormat="1" ht="12.75" customHeight="1">
      <c r="A19" s="145"/>
      <c r="B19" s="125"/>
      <c r="C19" s="125"/>
      <c r="D19" s="601"/>
      <c r="E19" s="193"/>
      <c r="F19" s="603"/>
      <c r="G19" s="32"/>
      <c r="H19" s="83"/>
    </row>
    <row r="20" spans="1:8" customFormat="1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161</v>
      </c>
    </row>
    <row r="21" spans="1:8" customFormat="1" ht="38.25">
      <c r="A21" s="145"/>
      <c r="B21" s="43"/>
      <c r="C21" s="36"/>
      <c r="D21" s="67" t="s">
        <v>482</v>
      </c>
      <c r="E21" s="71" t="s">
        <v>483</v>
      </c>
      <c r="F21" s="61"/>
      <c r="G21" s="62" t="s">
        <v>36</v>
      </c>
      <c r="H21" s="83">
        <v>131</v>
      </c>
    </row>
    <row r="22" spans="1:8" customFormat="1" ht="15">
      <c r="A22" s="145"/>
      <c r="B22" s="43"/>
      <c r="C22" s="36"/>
      <c r="D22" s="37"/>
      <c r="E22" s="168" t="s">
        <v>2895</v>
      </c>
      <c r="F22" s="603">
        <v>131</v>
      </c>
      <c r="G22" s="130"/>
      <c r="H22" s="64"/>
    </row>
    <row r="23" spans="1:8" customFormat="1" ht="38.25">
      <c r="A23" s="145"/>
      <c r="B23" s="73"/>
      <c r="C23" s="66"/>
      <c r="D23" s="67" t="s">
        <v>491</v>
      </c>
      <c r="E23" s="71" t="s">
        <v>492</v>
      </c>
      <c r="F23" s="61"/>
      <c r="G23" s="62" t="s">
        <v>33</v>
      </c>
      <c r="H23" s="83">
        <v>30</v>
      </c>
    </row>
    <row r="24" spans="1:8" customFormat="1" ht="15">
      <c r="A24" s="145"/>
      <c r="B24" s="125"/>
      <c r="C24" s="125"/>
      <c r="D24" s="601"/>
      <c r="E24" s="168" t="s">
        <v>2896</v>
      </c>
      <c r="F24" s="603">
        <v>2</v>
      </c>
      <c r="G24" s="32"/>
      <c r="H24" s="83"/>
    </row>
    <row r="25" spans="1:8" customFormat="1" ht="15">
      <c r="A25" s="145"/>
      <c r="B25" s="125"/>
      <c r="C25" s="125"/>
      <c r="D25" s="601"/>
      <c r="E25" s="168" t="s">
        <v>1131</v>
      </c>
      <c r="F25" s="603">
        <v>3</v>
      </c>
      <c r="G25" s="32"/>
      <c r="H25" s="83"/>
    </row>
    <row r="26" spans="1:8" customFormat="1" ht="15">
      <c r="A26" s="145"/>
      <c r="B26" s="125"/>
      <c r="C26" s="125"/>
      <c r="D26" s="601"/>
      <c r="E26" s="168" t="s">
        <v>2897</v>
      </c>
      <c r="F26" s="603">
        <v>3</v>
      </c>
      <c r="G26" s="32"/>
      <c r="H26" s="83"/>
    </row>
    <row r="27" spans="1:8" customFormat="1" ht="15">
      <c r="A27" s="145"/>
      <c r="B27" s="125"/>
      <c r="C27" s="125"/>
      <c r="D27" s="601"/>
      <c r="E27" s="168" t="s">
        <v>2898</v>
      </c>
      <c r="F27" s="603">
        <v>3</v>
      </c>
      <c r="G27" s="32"/>
      <c r="H27" s="83"/>
    </row>
    <row r="28" spans="1:8" customFormat="1" ht="15">
      <c r="A28" s="145"/>
      <c r="B28" s="125"/>
      <c r="C28" s="125"/>
      <c r="D28" s="601"/>
      <c r="E28" s="168" t="s">
        <v>2899</v>
      </c>
      <c r="F28" s="603">
        <v>17</v>
      </c>
      <c r="G28" s="32"/>
      <c r="H28" s="83"/>
    </row>
    <row r="29" spans="1:8" customFormat="1" ht="15">
      <c r="A29" s="145"/>
      <c r="B29" s="125"/>
      <c r="C29" s="125"/>
      <c r="D29" s="601"/>
      <c r="E29" s="168" t="s">
        <v>2900</v>
      </c>
      <c r="F29" s="705">
        <v>2</v>
      </c>
      <c r="G29" s="32"/>
      <c r="H29" s="83"/>
    </row>
    <row r="30" spans="1:8" customFormat="1" ht="15">
      <c r="A30" s="145"/>
      <c r="B30" s="125"/>
      <c r="C30" s="125"/>
      <c r="D30" s="601"/>
      <c r="E30" s="168" t="s">
        <v>1130</v>
      </c>
      <c r="F30" s="706">
        <f>SUM(F24:F29)</f>
        <v>30</v>
      </c>
      <c r="G30" s="32"/>
      <c r="H30" s="83"/>
    </row>
    <row r="31" spans="1:8" customFormat="1" ht="15">
      <c r="A31" s="145"/>
      <c r="B31" s="125"/>
      <c r="C31" s="125"/>
      <c r="D31" s="601"/>
      <c r="E31" s="168"/>
      <c r="F31" s="603"/>
      <c r="G31" s="32"/>
      <c r="H31" s="83"/>
    </row>
    <row r="32" spans="1:8" customFormat="1" ht="25.5">
      <c r="A32" s="34">
        <f>MAX(A$1:A31)+1</f>
        <v>5</v>
      </c>
      <c r="B32" s="125"/>
      <c r="C32" s="36" t="s">
        <v>115</v>
      </c>
      <c r="D32" s="37"/>
      <c r="E32" s="38" t="s">
        <v>116</v>
      </c>
      <c r="F32" s="39"/>
      <c r="G32" s="40" t="s">
        <v>33</v>
      </c>
      <c r="H32" s="64">
        <v>10</v>
      </c>
    </row>
    <row r="33" spans="1:8" customFormat="1" ht="25.5">
      <c r="A33" s="145"/>
      <c r="B33" s="125"/>
      <c r="C33" s="125"/>
      <c r="D33" s="67" t="s">
        <v>2901</v>
      </c>
      <c r="E33" s="71" t="s">
        <v>2902</v>
      </c>
      <c r="F33" s="61"/>
      <c r="G33" s="62" t="s">
        <v>33</v>
      </c>
      <c r="H33" s="83">
        <v>10</v>
      </c>
    </row>
    <row r="34" spans="1:8" customFormat="1" ht="15">
      <c r="A34" s="145"/>
      <c r="B34" s="125"/>
      <c r="C34" s="125"/>
      <c r="D34" s="601"/>
      <c r="E34" s="168" t="s">
        <v>2903</v>
      </c>
      <c r="F34" s="603">
        <v>2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2904</v>
      </c>
      <c r="F35" s="603">
        <v>1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2905</v>
      </c>
      <c r="F36" s="603">
        <v>1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2906</v>
      </c>
      <c r="F37" s="603">
        <v>2</v>
      </c>
      <c r="G37" s="32"/>
      <c r="H37" s="83"/>
    </row>
    <row r="38" spans="1:8" customFormat="1" ht="12.75" customHeight="1">
      <c r="A38" s="145"/>
      <c r="B38" s="125"/>
      <c r="C38" s="125"/>
      <c r="D38" s="601"/>
      <c r="E38" s="168" t="s">
        <v>2907</v>
      </c>
      <c r="F38" s="705">
        <v>4</v>
      </c>
      <c r="G38" s="32"/>
      <c r="H38" s="83"/>
    </row>
    <row r="39" spans="1:8" customFormat="1" ht="12.75" customHeight="1">
      <c r="A39" s="145"/>
      <c r="B39" s="125"/>
      <c r="C39" s="125"/>
      <c r="D39" s="601"/>
      <c r="E39" s="168" t="s">
        <v>1130</v>
      </c>
      <c r="F39" s="706">
        <f>SUM(F34:F38)</f>
        <v>10</v>
      </c>
      <c r="G39" s="32"/>
      <c r="H39" s="83"/>
    </row>
    <row r="40" spans="1:8" customFormat="1" ht="15">
      <c r="A40" s="145"/>
      <c r="B40" s="125"/>
      <c r="C40" s="125"/>
      <c r="D40" s="601"/>
      <c r="E40" s="168"/>
      <c r="F40" s="603"/>
      <c r="G40" s="32"/>
      <c r="H40" s="83"/>
    </row>
    <row r="41" spans="1:8" customFormat="1" ht="15">
      <c r="A41" s="34">
        <f>MAX(A$1:A40)+1</f>
        <v>6</v>
      </c>
      <c r="B41" s="125"/>
      <c r="C41" s="36" t="s">
        <v>37</v>
      </c>
      <c r="D41" s="37"/>
      <c r="E41" s="38" t="s">
        <v>38</v>
      </c>
      <c r="F41" s="39"/>
      <c r="G41" s="40" t="s">
        <v>15</v>
      </c>
      <c r="H41" s="64">
        <v>0.33</v>
      </c>
    </row>
    <row r="42" spans="1:8" customFormat="1" ht="15">
      <c r="A42" s="145"/>
      <c r="B42" s="125"/>
      <c r="C42" s="31"/>
      <c r="D42" s="67" t="s">
        <v>39</v>
      </c>
      <c r="E42" s="71" t="s">
        <v>40</v>
      </c>
      <c r="F42" s="61"/>
      <c r="G42" s="62" t="s">
        <v>15</v>
      </c>
      <c r="H42" s="83">
        <v>0.33</v>
      </c>
    </row>
    <row r="43" spans="1:8" customFormat="1" ht="15">
      <c r="A43" s="145"/>
      <c r="B43" s="125"/>
      <c r="C43" s="31"/>
      <c r="D43" s="32"/>
      <c r="E43" s="168" t="s">
        <v>2736</v>
      </c>
      <c r="F43" s="170">
        <v>0.33</v>
      </c>
      <c r="G43" s="29"/>
      <c r="H43" s="30"/>
    </row>
    <row r="44" spans="1:8" customFormat="1" ht="15">
      <c r="A44" s="145"/>
      <c r="B44" s="125"/>
      <c r="C44" s="125"/>
      <c r="D44" s="601"/>
      <c r="E44" s="193"/>
      <c r="F44" s="603"/>
      <c r="G44" s="32"/>
      <c r="H44" s="83"/>
    </row>
    <row r="45" spans="1:8" customFormat="1" ht="12.75" customHeight="1">
      <c r="A45" s="95"/>
      <c r="B45" s="35" t="s">
        <v>621</v>
      </c>
      <c r="C45" s="35"/>
      <c r="D45" s="94"/>
      <c r="E45" s="50" t="s">
        <v>622</v>
      </c>
      <c r="F45" s="100"/>
      <c r="G45" s="97"/>
      <c r="H45" s="42"/>
    </row>
    <row r="46" spans="1:8">
      <c r="A46" s="95"/>
      <c r="B46" s="35"/>
      <c r="C46" s="35"/>
      <c r="D46" s="94"/>
      <c r="E46" s="50"/>
      <c r="F46" s="100"/>
      <c r="G46" s="97"/>
      <c r="H46" s="42"/>
    </row>
    <row r="47" spans="1:8">
      <c r="A47" s="34">
        <f>MAX(A$1:A46)+1</f>
        <v>7</v>
      </c>
      <c r="B47" s="35"/>
      <c r="C47" s="195">
        <v>92010101</v>
      </c>
      <c r="D47" s="196"/>
      <c r="E47" s="38" t="s">
        <v>2852</v>
      </c>
      <c r="F47" s="39"/>
      <c r="G47" s="40" t="s">
        <v>33</v>
      </c>
      <c r="H47" s="64">
        <v>4</v>
      </c>
    </row>
    <row r="48" spans="1:8">
      <c r="A48" s="34"/>
      <c r="B48" s="35"/>
      <c r="C48" s="35"/>
      <c r="D48" s="199">
        <v>9201010104</v>
      </c>
      <c r="E48" s="71" t="s">
        <v>2908</v>
      </c>
      <c r="F48" s="61"/>
      <c r="G48" s="62" t="s">
        <v>33</v>
      </c>
      <c r="H48" s="83">
        <v>4</v>
      </c>
    </row>
    <row r="49" spans="1:9">
      <c r="A49" s="34"/>
      <c r="B49" s="35"/>
      <c r="C49" s="35"/>
      <c r="D49" s="94"/>
      <c r="E49" s="168" t="s">
        <v>2909</v>
      </c>
      <c r="F49" s="603">
        <v>2</v>
      </c>
      <c r="G49" s="97"/>
      <c r="H49" s="42"/>
    </row>
    <row r="50" spans="1:9">
      <c r="A50" s="34"/>
      <c r="B50" s="35"/>
      <c r="C50" s="35"/>
      <c r="D50" s="94"/>
      <c r="E50" s="168" t="s">
        <v>2910</v>
      </c>
      <c r="F50" s="705">
        <v>2</v>
      </c>
      <c r="G50" s="97"/>
      <c r="H50" s="42"/>
    </row>
    <row r="51" spans="1:9">
      <c r="A51" s="34"/>
      <c r="B51" s="35"/>
      <c r="C51" s="35"/>
      <c r="D51" s="94"/>
      <c r="E51" s="168" t="s">
        <v>1130</v>
      </c>
      <c r="F51" s="706">
        <f>SUM(F46:F50)</f>
        <v>4</v>
      </c>
      <c r="G51" s="97"/>
      <c r="H51" s="42"/>
    </row>
    <row r="52" spans="1:9">
      <c r="A52" s="34"/>
      <c r="B52" s="35"/>
      <c r="C52" s="35"/>
      <c r="D52" s="94"/>
      <c r="E52" s="50"/>
      <c r="F52" s="100"/>
      <c r="G52" s="97"/>
      <c r="H52" s="42"/>
    </row>
    <row r="53" spans="1:9">
      <c r="A53" s="34">
        <f>MAX(A$1:A52)+1</f>
        <v>8</v>
      </c>
      <c r="B53" s="35"/>
      <c r="C53" s="195">
        <v>92010109</v>
      </c>
      <c r="D53" s="196"/>
      <c r="E53" s="38" t="s">
        <v>2855</v>
      </c>
      <c r="F53" s="39"/>
      <c r="G53" s="40" t="s">
        <v>33</v>
      </c>
      <c r="H53" s="64">
        <v>2</v>
      </c>
    </row>
    <row r="54" spans="1:9">
      <c r="A54" s="95"/>
      <c r="B54" s="35"/>
      <c r="C54" s="198"/>
      <c r="D54" s="199">
        <v>9201010902</v>
      </c>
      <c r="E54" s="71" t="s">
        <v>2856</v>
      </c>
      <c r="F54" s="61"/>
      <c r="G54" s="62" t="s">
        <v>33</v>
      </c>
      <c r="H54" s="83">
        <v>2</v>
      </c>
    </row>
    <row r="55" spans="1:9">
      <c r="A55" s="95"/>
      <c r="B55" s="35"/>
      <c r="C55" s="125"/>
      <c r="D55" s="601"/>
      <c r="E55" s="168" t="s">
        <v>2911</v>
      </c>
      <c r="F55" s="603">
        <v>2</v>
      </c>
      <c r="G55" s="32"/>
      <c r="H55" s="83"/>
    </row>
    <row r="56" spans="1:9">
      <c r="A56" s="95"/>
      <c r="B56" s="35"/>
      <c r="C56" s="35"/>
      <c r="D56" s="94"/>
      <c r="E56" s="50"/>
      <c r="F56" s="100"/>
      <c r="G56" s="97"/>
      <c r="H56" s="42"/>
    </row>
    <row r="57" spans="1:9" s="98" customFormat="1" ht="25.5">
      <c r="A57" s="34">
        <f>MAX(A$1:A56)+1</f>
        <v>9</v>
      </c>
      <c r="B57" s="125"/>
      <c r="C57" s="195">
        <v>92020105</v>
      </c>
      <c r="D57" s="196"/>
      <c r="E57" s="38" t="s">
        <v>2768</v>
      </c>
      <c r="F57" s="39"/>
      <c r="G57" s="40" t="s">
        <v>36</v>
      </c>
      <c r="H57" s="64">
        <v>141</v>
      </c>
      <c r="I57"/>
    </row>
    <row r="58" spans="1:9" s="98" customFormat="1" ht="25.5">
      <c r="A58" s="34"/>
      <c r="B58" s="125"/>
      <c r="C58" s="125"/>
      <c r="D58" s="199">
        <v>9202010510</v>
      </c>
      <c r="E58" s="71" t="s">
        <v>2912</v>
      </c>
      <c r="F58" s="61"/>
      <c r="G58" s="62" t="s">
        <v>36</v>
      </c>
      <c r="H58" s="83">
        <v>141</v>
      </c>
      <c r="I58"/>
    </row>
    <row r="59" spans="1:9" s="98" customFormat="1" ht="15">
      <c r="A59" s="34"/>
      <c r="B59" s="125"/>
      <c r="C59" s="125"/>
      <c r="D59" s="601"/>
      <c r="E59" s="168" t="s">
        <v>2913</v>
      </c>
      <c r="F59" s="603">
        <v>141</v>
      </c>
      <c r="G59" s="32"/>
      <c r="H59" s="83"/>
      <c r="I59"/>
    </row>
    <row r="60" spans="1:9" s="98" customFormat="1" ht="15">
      <c r="A60" s="34"/>
      <c r="B60" s="125"/>
      <c r="C60" s="125"/>
      <c r="D60" s="601"/>
      <c r="E60" s="193"/>
      <c r="F60" s="603"/>
      <c r="G60" s="32"/>
      <c r="H60" s="83"/>
      <c r="I60"/>
    </row>
    <row r="61" spans="1:9" s="98" customFormat="1" ht="25.5">
      <c r="A61" s="34">
        <f>MAX(A$1:A60)+1</f>
        <v>10</v>
      </c>
      <c r="B61" s="43"/>
      <c r="C61" s="195">
        <v>92020301</v>
      </c>
      <c r="D61" s="196"/>
      <c r="E61" s="38" t="s">
        <v>476</v>
      </c>
      <c r="F61" s="39"/>
      <c r="G61" s="40" t="s">
        <v>33</v>
      </c>
      <c r="H61" s="64">
        <v>19</v>
      </c>
      <c r="I61"/>
    </row>
    <row r="62" spans="1:9" s="98" customFormat="1" ht="25.5">
      <c r="A62" s="72"/>
      <c r="B62" s="73"/>
      <c r="C62" s="198"/>
      <c r="D62" s="199">
        <v>9202030102</v>
      </c>
      <c r="E62" s="71" t="s">
        <v>490</v>
      </c>
      <c r="F62" s="61"/>
      <c r="G62" s="62" t="s">
        <v>33</v>
      </c>
      <c r="H62" s="83">
        <v>19</v>
      </c>
      <c r="I62"/>
    </row>
    <row r="63" spans="1:9" s="98" customFormat="1" ht="15">
      <c r="A63" s="34"/>
      <c r="B63" s="125"/>
      <c r="C63" s="125"/>
      <c r="D63" s="601"/>
      <c r="E63" s="168" t="s">
        <v>2914</v>
      </c>
      <c r="F63" s="603">
        <v>17</v>
      </c>
      <c r="G63" s="32"/>
      <c r="H63" s="83"/>
      <c r="I63"/>
    </row>
    <row r="64" spans="1:9" s="98" customFormat="1" ht="15">
      <c r="A64" s="34"/>
      <c r="B64" s="125"/>
      <c r="C64" s="125"/>
      <c r="D64" s="601"/>
      <c r="E64" s="168" t="s">
        <v>2915</v>
      </c>
      <c r="F64" s="705">
        <v>2</v>
      </c>
      <c r="G64" s="32"/>
      <c r="H64" s="83"/>
      <c r="I64"/>
    </row>
    <row r="65" spans="1:13" customFormat="1" ht="15">
      <c r="A65" s="34"/>
      <c r="B65" s="125"/>
      <c r="C65" s="125"/>
      <c r="D65" s="601"/>
      <c r="E65" s="168" t="s">
        <v>1130</v>
      </c>
      <c r="F65" s="706">
        <f>SUM(F63:F64)</f>
        <v>19</v>
      </c>
      <c r="G65" s="32"/>
      <c r="H65" s="83"/>
    </row>
    <row r="66" spans="1:13" customFormat="1" ht="15">
      <c r="A66" s="34"/>
      <c r="B66" s="125"/>
      <c r="C66" s="125"/>
      <c r="D66" s="601"/>
      <c r="E66" s="168"/>
      <c r="F66" s="603"/>
      <c r="G66" s="32"/>
      <c r="H66" s="83"/>
    </row>
    <row r="67" spans="1:13" customFormat="1" ht="25.5">
      <c r="A67" s="34">
        <f>MAX(A$1:A66)+1</f>
        <v>11</v>
      </c>
      <c r="B67" s="43"/>
      <c r="C67" s="195">
        <v>92020702</v>
      </c>
      <c r="D67" s="196"/>
      <c r="E67" s="38" t="s">
        <v>718</v>
      </c>
      <c r="F67" s="39"/>
      <c r="G67" s="40" t="s">
        <v>33</v>
      </c>
      <c r="H67" s="64">
        <v>3</v>
      </c>
    </row>
    <row r="68" spans="1:13" customFormat="1" ht="25.5">
      <c r="A68" s="72"/>
      <c r="B68" s="73"/>
      <c r="C68" s="198"/>
      <c r="D68" s="199">
        <v>9202070202</v>
      </c>
      <c r="E68" s="71" t="s">
        <v>719</v>
      </c>
      <c r="F68" s="61"/>
      <c r="G68" s="62" t="s">
        <v>33</v>
      </c>
      <c r="H68" s="83">
        <v>3</v>
      </c>
    </row>
    <row r="69" spans="1:13" customFormat="1" ht="15">
      <c r="A69" s="34"/>
      <c r="B69" s="125"/>
      <c r="C69" s="125"/>
      <c r="D69" s="601"/>
      <c r="E69" s="168" t="s">
        <v>1386</v>
      </c>
      <c r="F69" s="603">
        <v>3</v>
      </c>
      <c r="G69" s="32"/>
      <c r="H69" s="83"/>
    </row>
    <row r="70" spans="1:13" customFormat="1" ht="15">
      <c r="A70" s="34"/>
      <c r="B70" s="125"/>
      <c r="C70" s="125"/>
      <c r="D70" s="601"/>
      <c r="E70" s="168"/>
      <c r="F70" s="603"/>
      <c r="G70" s="32"/>
      <c r="H70" s="83"/>
      <c r="J70" s="120"/>
    </row>
    <row r="71" spans="1:13" customFormat="1" ht="25.5">
      <c r="A71" s="34">
        <f>MAX(A$1:A70)+1</f>
        <v>12</v>
      </c>
      <c r="B71" s="125"/>
      <c r="C71" s="195">
        <v>92022501</v>
      </c>
      <c r="D71" s="196"/>
      <c r="E71" s="38" t="s">
        <v>478</v>
      </c>
      <c r="F71" s="39"/>
      <c r="G71" s="40" t="s">
        <v>33</v>
      </c>
      <c r="H71" s="64">
        <v>9</v>
      </c>
    </row>
    <row r="72" spans="1:13" customFormat="1" ht="25.5">
      <c r="A72" s="34"/>
      <c r="B72" s="125"/>
      <c r="C72" s="195"/>
      <c r="D72" s="199">
        <v>9202250102</v>
      </c>
      <c r="E72" s="71" t="s">
        <v>479</v>
      </c>
      <c r="F72" s="61"/>
      <c r="G72" s="62" t="s">
        <v>33</v>
      </c>
      <c r="H72" s="83">
        <v>3</v>
      </c>
    </row>
    <row r="73" spans="1:13" customFormat="1" ht="15">
      <c r="A73" s="34"/>
      <c r="B73" s="125"/>
      <c r="C73" s="195"/>
      <c r="D73" s="199"/>
      <c r="E73" s="168" t="s">
        <v>2916</v>
      </c>
      <c r="F73" s="603">
        <v>1</v>
      </c>
      <c r="G73" s="62"/>
      <c r="H73" s="83"/>
    </row>
    <row r="74" spans="1:13" customFormat="1" ht="15">
      <c r="A74" s="34"/>
      <c r="B74" s="125"/>
      <c r="C74" s="195"/>
      <c r="D74" s="199"/>
      <c r="E74" s="168" t="s">
        <v>2917</v>
      </c>
      <c r="F74" s="705">
        <v>2</v>
      </c>
      <c r="G74" s="62"/>
      <c r="H74" s="83"/>
    </row>
    <row r="75" spans="1:13" customFormat="1" ht="15">
      <c r="A75" s="34"/>
      <c r="B75" s="125"/>
      <c r="C75" s="195"/>
      <c r="D75" s="199"/>
      <c r="E75" s="168" t="s">
        <v>1130</v>
      </c>
      <c r="F75" s="706">
        <f>SUM(F73:F74)</f>
        <v>3</v>
      </c>
      <c r="G75" s="62"/>
      <c r="H75" s="83"/>
    </row>
    <row r="76" spans="1:13" customFormat="1" ht="25.5">
      <c r="A76" s="34"/>
      <c r="B76" s="125"/>
      <c r="C76" s="125"/>
      <c r="D76" s="199">
        <v>9202250104</v>
      </c>
      <c r="E76" s="71" t="s">
        <v>722</v>
      </c>
      <c r="F76" s="61"/>
      <c r="G76" s="62" t="s">
        <v>33</v>
      </c>
      <c r="H76" s="83">
        <v>3</v>
      </c>
    </row>
    <row r="77" spans="1:13" customFormat="1" ht="15">
      <c r="A77" s="34"/>
      <c r="B77" s="125"/>
      <c r="C77" s="125"/>
      <c r="D77" s="199"/>
      <c r="E77" s="168" t="s">
        <v>2918</v>
      </c>
      <c r="F77" s="603">
        <v>3</v>
      </c>
      <c r="G77" s="62"/>
      <c r="H77" s="83"/>
    </row>
    <row r="78" spans="1:13" customFormat="1" ht="25.5">
      <c r="A78" s="34"/>
      <c r="B78" s="125"/>
      <c r="C78" s="125"/>
      <c r="D78" s="199">
        <v>9202250111</v>
      </c>
      <c r="E78" s="71" t="s">
        <v>743</v>
      </c>
      <c r="F78" s="61"/>
      <c r="G78" s="62" t="s">
        <v>33</v>
      </c>
      <c r="H78" s="83">
        <v>3</v>
      </c>
    </row>
    <row r="79" spans="1:13" customFormat="1" ht="15">
      <c r="A79" s="34"/>
      <c r="B79" s="125"/>
      <c r="C79" s="125"/>
      <c r="D79" s="601"/>
      <c r="E79" s="168" t="s">
        <v>2916</v>
      </c>
      <c r="F79" s="603">
        <v>1</v>
      </c>
      <c r="G79" s="32"/>
      <c r="H79" s="83"/>
      <c r="M79" s="489"/>
    </row>
    <row r="80" spans="1:13" customFormat="1" ht="15">
      <c r="A80" s="34"/>
      <c r="B80" s="125"/>
      <c r="C80" s="125"/>
      <c r="D80" s="601"/>
      <c r="E80" s="168" t="s">
        <v>2917</v>
      </c>
      <c r="F80" s="705">
        <v>2</v>
      </c>
      <c r="G80" s="32"/>
      <c r="H80" s="83"/>
    </row>
    <row r="81" spans="1:8" customFormat="1" ht="15">
      <c r="A81" s="34"/>
      <c r="B81" s="125"/>
      <c r="C81" s="125"/>
      <c r="D81" s="601"/>
      <c r="E81" s="168" t="s">
        <v>1130</v>
      </c>
      <c r="F81" s="706">
        <f>SUM(F79:F80)</f>
        <v>3</v>
      </c>
      <c r="G81" s="32"/>
      <c r="H81" s="83"/>
    </row>
    <row r="82" spans="1:8" customFormat="1" ht="15">
      <c r="A82" s="34"/>
      <c r="B82" s="125"/>
      <c r="C82" s="125"/>
      <c r="D82" s="199"/>
      <c r="E82" s="168"/>
      <c r="F82" s="603"/>
      <c r="G82" s="62"/>
      <c r="H82" s="83"/>
    </row>
    <row r="83" spans="1:8" customFormat="1" ht="25.5">
      <c r="A83" s="34">
        <f>MAX(A$1:A82)+1</f>
        <v>13</v>
      </c>
      <c r="B83" s="43"/>
      <c r="C83" s="195">
        <v>92022705</v>
      </c>
      <c r="D83" s="196"/>
      <c r="E83" s="38" t="s">
        <v>2784</v>
      </c>
      <c r="F83" s="39"/>
      <c r="G83" s="40" t="s">
        <v>33</v>
      </c>
      <c r="H83" s="64">
        <v>6</v>
      </c>
    </row>
    <row r="84" spans="1:8" customFormat="1" ht="25.5">
      <c r="A84" s="72"/>
      <c r="B84" s="73"/>
      <c r="C84" s="198"/>
      <c r="D84" s="198">
        <v>9202270506</v>
      </c>
      <c r="E84" s="71" t="s">
        <v>2785</v>
      </c>
      <c r="F84" s="61"/>
      <c r="G84" s="62" t="s">
        <v>33</v>
      </c>
      <c r="H84" s="83">
        <v>6</v>
      </c>
    </row>
    <row r="85" spans="1:8" customFormat="1" ht="15">
      <c r="A85" s="34"/>
      <c r="B85" s="125"/>
      <c r="C85" s="125"/>
      <c r="D85" s="601"/>
      <c r="E85" s="168" t="s">
        <v>2919</v>
      </c>
      <c r="F85" s="603">
        <v>2</v>
      </c>
      <c r="G85" s="32"/>
      <c r="H85" s="83"/>
    </row>
    <row r="86" spans="1:8" customFormat="1" ht="15">
      <c r="A86" s="34"/>
      <c r="B86" s="125"/>
      <c r="C86" s="125"/>
      <c r="D86" s="601"/>
      <c r="E86" s="168" t="s">
        <v>2866</v>
      </c>
      <c r="F86" s="603">
        <v>2</v>
      </c>
      <c r="G86" s="32"/>
      <c r="H86" s="83"/>
    </row>
    <row r="87" spans="1:8" customFormat="1" ht="15">
      <c r="A87" s="34"/>
      <c r="B87" s="125"/>
      <c r="C87" s="125"/>
      <c r="D87" s="601"/>
      <c r="E87" s="168" t="s">
        <v>2787</v>
      </c>
      <c r="F87" s="705">
        <v>2</v>
      </c>
      <c r="G87" s="32"/>
      <c r="H87" s="83"/>
    </row>
    <row r="88" spans="1:8" customFormat="1" ht="15">
      <c r="A88" s="34"/>
      <c r="B88" s="125"/>
      <c r="C88" s="125"/>
      <c r="D88" s="601"/>
      <c r="E88" s="168" t="s">
        <v>1130</v>
      </c>
      <c r="F88" s="706">
        <f>SUM(F85:F87)</f>
        <v>6</v>
      </c>
      <c r="G88" s="32"/>
      <c r="H88" s="83"/>
    </row>
    <row r="89" spans="1:8" customFormat="1" ht="15">
      <c r="A89" s="34"/>
      <c r="B89" s="125"/>
      <c r="C89" s="125"/>
      <c r="D89" s="601"/>
      <c r="E89" s="193"/>
      <c r="F89" s="603"/>
      <c r="G89" s="32"/>
      <c r="H89" s="83"/>
    </row>
    <row r="90" spans="1:8" customFormat="1" ht="25.5">
      <c r="A90" s="34">
        <f>MAX(A$1:A89)+1</f>
        <v>14</v>
      </c>
      <c r="B90" s="1259"/>
      <c r="C90" s="36" t="s">
        <v>2920</v>
      </c>
      <c r="D90" s="37"/>
      <c r="E90" s="38" t="s">
        <v>2921</v>
      </c>
      <c r="F90" s="39"/>
      <c r="G90" s="40" t="s">
        <v>33</v>
      </c>
      <c r="H90" s="64">
        <v>8</v>
      </c>
    </row>
    <row r="91" spans="1:8" customFormat="1" ht="25.5">
      <c r="A91" s="34"/>
      <c r="B91" s="1259"/>
      <c r="C91" s="66"/>
      <c r="D91" s="67" t="s">
        <v>2922</v>
      </c>
      <c r="E91" s="71" t="s">
        <v>2923</v>
      </c>
      <c r="F91" s="61"/>
      <c r="G91" s="62" t="s">
        <v>33</v>
      </c>
      <c r="H91" s="1260">
        <v>8</v>
      </c>
    </row>
    <row r="92" spans="1:8" customFormat="1" ht="12" customHeight="1">
      <c r="A92" s="34"/>
      <c r="B92" s="1259"/>
      <c r="C92" s="125"/>
      <c r="D92" s="1261"/>
      <c r="E92" s="168" t="s">
        <v>2924</v>
      </c>
      <c r="F92" s="603">
        <v>1</v>
      </c>
      <c r="G92" s="32"/>
      <c r="H92" s="1260"/>
    </row>
    <row r="93" spans="1:8" customFormat="1" ht="15">
      <c r="A93" s="34"/>
      <c r="B93" s="1259"/>
      <c r="C93" s="125"/>
      <c r="D93" s="1261"/>
      <c r="E93" s="168" t="s">
        <v>2925</v>
      </c>
      <c r="F93" s="603">
        <v>1</v>
      </c>
      <c r="G93" s="32"/>
      <c r="H93" s="1260"/>
    </row>
    <row r="94" spans="1:8" customFormat="1" ht="15">
      <c r="A94" s="34"/>
      <c r="B94" s="1259"/>
      <c r="C94" s="125"/>
      <c r="D94" s="1261"/>
      <c r="E94" s="168" t="s">
        <v>2926</v>
      </c>
      <c r="F94" s="603">
        <v>2</v>
      </c>
      <c r="G94" s="32"/>
      <c r="H94" s="1260"/>
    </row>
    <row r="95" spans="1:8" customFormat="1" ht="15">
      <c r="A95" s="34"/>
      <c r="B95" s="1259"/>
      <c r="C95" s="125"/>
      <c r="D95" s="1261"/>
      <c r="E95" s="168" t="s">
        <v>2927</v>
      </c>
      <c r="F95" s="705">
        <v>4</v>
      </c>
      <c r="G95" s="32"/>
      <c r="H95" s="1260"/>
    </row>
    <row r="96" spans="1:8" customFormat="1" ht="15">
      <c r="A96" s="34"/>
      <c r="B96" s="1259"/>
      <c r="C96" s="125"/>
      <c r="D96" s="1261"/>
      <c r="E96" s="168" t="s">
        <v>1130</v>
      </c>
      <c r="F96" s="706">
        <f>SUM(F92:F95)</f>
        <v>8</v>
      </c>
      <c r="G96" s="32"/>
      <c r="H96" s="1260"/>
    </row>
    <row r="97" spans="1:8" customFormat="1" ht="15">
      <c r="A97" s="34"/>
      <c r="B97" s="1259"/>
      <c r="C97" s="125"/>
      <c r="D97" s="1261"/>
      <c r="E97" s="168"/>
      <c r="F97" s="603"/>
      <c r="G97" s="32"/>
      <c r="H97" s="1260"/>
    </row>
    <row r="98" spans="1:8" customFormat="1" ht="15" customHeight="1">
      <c r="A98" s="34">
        <f>MAX(A$1:A97)+1</f>
        <v>15</v>
      </c>
      <c r="B98" s="1259"/>
      <c r="C98" s="36" t="s">
        <v>2928</v>
      </c>
      <c r="D98" s="37"/>
      <c r="E98" s="38" t="s">
        <v>2929</v>
      </c>
      <c r="F98" s="39"/>
      <c r="G98" s="40" t="s">
        <v>33</v>
      </c>
      <c r="H98" s="64">
        <v>8</v>
      </c>
    </row>
    <row r="99" spans="1:8" customFormat="1" ht="38.25">
      <c r="A99" s="34"/>
      <c r="B99" s="1259"/>
      <c r="C99" s="125"/>
      <c r="D99" s="67" t="s">
        <v>2930</v>
      </c>
      <c r="E99" s="71" t="s">
        <v>2931</v>
      </c>
      <c r="F99" s="61"/>
      <c r="G99" s="62" t="s">
        <v>33</v>
      </c>
      <c r="H99" s="1260">
        <v>8</v>
      </c>
    </row>
    <row r="100" spans="1:8" customFormat="1" ht="15">
      <c r="A100" s="34"/>
      <c r="B100" s="1259"/>
      <c r="C100" s="125"/>
      <c r="D100" s="1261"/>
      <c r="E100" s="168" t="s">
        <v>2932</v>
      </c>
      <c r="F100" s="603">
        <v>7</v>
      </c>
      <c r="G100" s="32"/>
      <c r="H100" s="1260"/>
    </row>
    <row r="101" spans="1:8" customFormat="1" ht="15">
      <c r="A101" s="34"/>
      <c r="B101" s="1259"/>
      <c r="C101" s="125"/>
      <c r="D101" s="1261"/>
      <c r="E101" s="168" t="s">
        <v>2933</v>
      </c>
      <c r="F101" s="705">
        <v>1</v>
      </c>
      <c r="G101" s="32"/>
      <c r="H101" s="1260"/>
    </row>
    <row r="102" spans="1:8" customFormat="1" ht="15">
      <c r="A102" s="34"/>
      <c r="B102" s="1259"/>
      <c r="C102" s="125"/>
      <c r="D102" s="1261"/>
      <c r="E102" s="168" t="s">
        <v>1130</v>
      </c>
      <c r="F102" s="706">
        <f>SUM(F100:F101)</f>
        <v>8</v>
      </c>
      <c r="G102" s="32"/>
      <c r="H102" s="1260"/>
    </row>
    <row r="103" spans="1:8" customFormat="1" ht="15">
      <c r="A103" s="334"/>
      <c r="B103" s="197"/>
      <c r="C103" s="198"/>
      <c r="D103" s="199"/>
      <c r="E103" s="65"/>
      <c r="F103" s="212"/>
      <c r="G103" s="295"/>
      <c r="H103" s="535"/>
    </row>
    <row r="104" spans="1:8" customFormat="1" ht="12.75" customHeight="1">
      <c r="A104" s="290"/>
      <c r="B104" s="328"/>
      <c r="C104" s="331"/>
      <c r="D104" s="332"/>
      <c r="E104" s="330"/>
      <c r="F104" s="572"/>
      <c r="G104" s="523"/>
      <c r="H104" s="573"/>
    </row>
    <row r="105" spans="1:8" customFormat="1" ht="15.75" thickBot="1">
      <c r="A105" s="459"/>
      <c r="B105" s="460"/>
      <c r="C105" s="391"/>
      <c r="D105" s="461"/>
      <c r="E105" s="462"/>
      <c r="F105" s="524"/>
      <c r="G105" s="525"/>
      <c r="H105" s="574"/>
    </row>
    <row r="106" spans="1:8" customFormat="1" ht="24.75" customHeight="1">
      <c r="A106" s="526"/>
      <c r="B106" s="527"/>
      <c r="C106" s="344"/>
      <c r="D106" s="519"/>
      <c r="E106" s="129"/>
      <c r="F106" s="131"/>
      <c r="G106" s="326"/>
      <c r="H106" s="528"/>
    </row>
  </sheetData>
  <sheetProtection algorithmName="SHA-512" hashValue="UuDOgIFDmgyD58vNuNlLV85Q+31PcK0rCgGZrgi5/E05X+JYGFe3SAbA8lS3Qbujfhq5ZosGW0qTs7Xcgp2Ruw==" saltValue="Na59wr2Zfidcrq3OAHPvV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1841-604F-4FFF-9AB4-2D909D720914}">
  <sheetPr codeName="Hárok45"/>
  <dimension ref="A1:J24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2935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14.93</v>
      </c>
    </row>
    <row r="9" spans="1:8">
      <c r="A9" s="47"/>
      <c r="B9" s="24"/>
      <c r="C9" s="25"/>
      <c r="D9" s="26"/>
      <c r="E9" s="27"/>
      <c r="F9" s="144">
        <f>F87</f>
        <v>14.932303999999998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customFormat="1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 customFormat="1" ht="15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 customFormat="1" ht="15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 customFormat="1" ht="15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 customFormat="1" ht="15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2894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 customFormat="1" ht="15">
      <c r="A22" s="145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1093.5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890.5</v>
      </c>
    </row>
    <row r="25" spans="1:8" customFormat="1" ht="15">
      <c r="A25" s="145"/>
      <c r="B25" s="43"/>
      <c r="C25" s="36"/>
      <c r="D25" s="67"/>
      <c r="E25" s="168" t="s">
        <v>2936</v>
      </c>
      <c r="F25" s="603">
        <v>419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2937</v>
      </c>
      <c r="F26" s="603">
        <v>84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2938</v>
      </c>
      <c r="F27" s="603">
        <v>116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2939</v>
      </c>
      <c r="F28" s="603">
        <v>75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2940</v>
      </c>
      <c r="F29" s="603">
        <v>89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2941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2895</v>
      </c>
      <c r="F31" s="603">
        <v>87.5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2942</v>
      </c>
      <c r="F32" s="705">
        <v>12</v>
      </c>
      <c r="G32" s="130"/>
      <c r="H32" s="64"/>
    </row>
    <row r="33" spans="1:8" customFormat="1" ht="15">
      <c r="A33" s="145"/>
      <c r="B33" s="43"/>
      <c r="C33" s="36"/>
      <c r="D33" s="37"/>
      <c r="E33" s="168" t="s">
        <v>1130</v>
      </c>
      <c r="F33" s="706">
        <f>SUM(F25:F32)</f>
        <v>890.5</v>
      </c>
      <c r="G33" s="130"/>
      <c r="H33" s="64"/>
    </row>
    <row r="34" spans="1:8" customFormat="1" ht="38.25">
      <c r="A34" s="145"/>
      <c r="B34" s="73"/>
      <c r="C34" s="66"/>
      <c r="D34" s="67" t="s">
        <v>491</v>
      </c>
      <c r="E34" s="71" t="s">
        <v>492</v>
      </c>
      <c r="F34" s="61"/>
      <c r="G34" s="62" t="s">
        <v>33</v>
      </c>
      <c r="H34" s="83">
        <v>203</v>
      </c>
    </row>
    <row r="35" spans="1:8" customFormat="1" ht="15">
      <c r="A35" s="145"/>
      <c r="B35" s="73"/>
      <c r="C35" s="66"/>
      <c r="D35" s="67"/>
      <c r="E35" s="168" t="s">
        <v>2943</v>
      </c>
      <c r="F35" s="603">
        <v>6</v>
      </c>
      <c r="G35" s="62"/>
      <c r="H35" s="83"/>
    </row>
    <row r="36" spans="1:8" customFormat="1" ht="15">
      <c r="A36" s="145"/>
      <c r="B36" s="125"/>
      <c r="C36" s="125"/>
      <c r="D36" s="601"/>
      <c r="E36" s="168" t="s">
        <v>2896</v>
      </c>
      <c r="F36" s="603">
        <v>8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2944</v>
      </c>
      <c r="F37" s="603">
        <v>1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1131</v>
      </c>
      <c r="F38" s="603">
        <v>24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2898</v>
      </c>
      <c r="F39" s="603">
        <v>47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2945</v>
      </c>
      <c r="F40" s="603">
        <v>14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2946</v>
      </c>
      <c r="F41" s="603">
        <v>1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2899</v>
      </c>
      <c r="F42" s="603">
        <v>51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2947</v>
      </c>
      <c r="F43" s="603">
        <v>6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2948</v>
      </c>
      <c r="F44" s="603">
        <v>28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2900</v>
      </c>
      <c r="F45" s="603">
        <v>8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2949</v>
      </c>
      <c r="F46" s="603">
        <v>4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2950</v>
      </c>
      <c r="F47" s="603">
        <v>4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2951</v>
      </c>
      <c r="F48" s="705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1130</v>
      </c>
      <c r="F49" s="706">
        <f>SUM(F35:F48)</f>
        <v>203</v>
      </c>
      <c r="G49" s="32"/>
      <c r="H49" s="83"/>
    </row>
    <row r="50" spans="1:8" customFormat="1" ht="15">
      <c r="A50" s="145"/>
      <c r="B50" s="125"/>
      <c r="C50" s="125"/>
      <c r="D50" s="601"/>
      <c r="E50" s="168"/>
      <c r="F50" s="603"/>
      <c r="G50" s="32"/>
      <c r="H50" s="83"/>
    </row>
    <row r="51" spans="1:8" customFormat="1" ht="25.5">
      <c r="A51" s="34">
        <f>MAX(A$1:A50)+1</f>
        <v>6</v>
      </c>
      <c r="B51" s="125"/>
      <c r="C51" s="36" t="s">
        <v>115</v>
      </c>
      <c r="D51" s="37"/>
      <c r="E51" s="38" t="s">
        <v>116</v>
      </c>
      <c r="F51" s="39"/>
      <c r="G51" s="40" t="s">
        <v>33</v>
      </c>
      <c r="H51" s="64">
        <v>37</v>
      </c>
    </row>
    <row r="52" spans="1:8" customFormat="1" ht="25.5">
      <c r="A52" s="145"/>
      <c r="B52" s="125"/>
      <c r="C52" s="125"/>
      <c r="D52" s="67" t="s">
        <v>2901</v>
      </c>
      <c r="E52" s="71" t="s">
        <v>2902</v>
      </c>
      <c r="F52" s="61"/>
      <c r="G52" s="62" t="s">
        <v>33</v>
      </c>
      <c r="H52" s="83">
        <v>37</v>
      </c>
    </row>
    <row r="53" spans="1:8" customFormat="1" ht="15">
      <c r="A53" s="145"/>
      <c r="B53" s="125"/>
      <c r="C53" s="125"/>
      <c r="D53" s="67"/>
      <c r="E53" s="168" t="s">
        <v>2952</v>
      </c>
      <c r="F53" s="603">
        <v>2</v>
      </c>
      <c r="G53" s="62"/>
      <c r="H53" s="83"/>
    </row>
    <row r="54" spans="1:8" customFormat="1" ht="15">
      <c r="A54" s="145"/>
      <c r="B54" s="125"/>
      <c r="C54" s="125"/>
      <c r="D54" s="67"/>
      <c r="E54" s="168" t="s">
        <v>2953</v>
      </c>
      <c r="F54" s="603">
        <v>5</v>
      </c>
      <c r="G54" s="62"/>
      <c r="H54" s="83"/>
    </row>
    <row r="55" spans="1:8" customFormat="1" ht="15">
      <c r="A55" s="145"/>
      <c r="B55" s="125"/>
      <c r="C55" s="125"/>
      <c r="D55" s="601"/>
      <c r="E55" s="168" t="s">
        <v>2903</v>
      </c>
      <c r="F55" s="603">
        <v>3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2904</v>
      </c>
      <c r="F56" s="603">
        <v>2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2954</v>
      </c>
      <c r="F57" s="603">
        <v>8</v>
      </c>
      <c r="G57" s="32"/>
      <c r="H57" s="83"/>
    </row>
    <row r="58" spans="1:8" customFormat="1" ht="15">
      <c r="A58" s="145"/>
      <c r="B58" s="125"/>
      <c r="C58" s="125"/>
      <c r="D58" s="601"/>
      <c r="E58" s="168" t="s">
        <v>2906</v>
      </c>
      <c r="F58" s="603">
        <v>5</v>
      </c>
      <c r="G58" s="32"/>
      <c r="H58" s="83"/>
    </row>
    <row r="59" spans="1:8" customFormat="1" ht="15">
      <c r="A59" s="145"/>
      <c r="B59" s="125"/>
      <c r="C59" s="125"/>
      <c r="D59" s="601"/>
      <c r="E59" s="168" t="s">
        <v>2907</v>
      </c>
      <c r="F59" s="603">
        <v>3</v>
      </c>
      <c r="G59" s="32"/>
      <c r="H59" s="83"/>
    </row>
    <row r="60" spans="1:8" customFormat="1" ht="15">
      <c r="A60" s="145"/>
      <c r="B60" s="125"/>
      <c r="C60" s="125"/>
      <c r="D60" s="601"/>
      <c r="E60" s="168" t="s">
        <v>2955</v>
      </c>
      <c r="F60" s="603">
        <v>1</v>
      </c>
      <c r="G60" s="32"/>
      <c r="H60" s="83"/>
    </row>
    <row r="61" spans="1:8" customFormat="1" ht="15">
      <c r="A61" s="145"/>
      <c r="B61" s="125"/>
      <c r="C61" s="125"/>
      <c r="D61" s="601"/>
      <c r="E61" s="168" t="s">
        <v>2956</v>
      </c>
      <c r="F61" s="705">
        <v>8</v>
      </c>
      <c r="G61" s="32"/>
      <c r="H61" s="83"/>
    </row>
    <row r="62" spans="1:8" customFormat="1" ht="15">
      <c r="A62" s="145"/>
      <c r="B62" s="125"/>
      <c r="C62" s="125"/>
      <c r="D62" s="601"/>
      <c r="E62" s="168" t="s">
        <v>1130</v>
      </c>
      <c r="F62" s="706">
        <f>SUM(F53:F61)</f>
        <v>37</v>
      </c>
      <c r="G62" s="32"/>
      <c r="H62" s="83"/>
    </row>
    <row r="63" spans="1:8" customFormat="1" ht="15">
      <c r="A63" s="145"/>
      <c r="B63" s="125"/>
      <c r="C63" s="125"/>
      <c r="D63" s="601"/>
      <c r="E63" s="168"/>
      <c r="F63" s="603"/>
      <c r="G63" s="32"/>
      <c r="H63" s="83"/>
    </row>
    <row r="64" spans="1:8" customFormat="1" ht="15">
      <c r="A64" s="34">
        <f>MAX(A$1:A63)+1</f>
        <v>7</v>
      </c>
      <c r="B64" s="125"/>
      <c r="C64" s="36" t="s">
        <v>37</v>
      </c>
      <c r="D64" s="37"/>
      <c r="E64" s="38" t="s">
        <v>38</v>
      </c>
      <c r="F64" s="39"/>
      <c r="G64" s="40" t="s">
        <v>15</v>
      </c>
      <c r="H64" s="64">
        <v>1.32</v>
      </c>
    </row>
    <row r="65" spans="1:8" customFormat="1" ht="15">
      <c r="A65" s="145"/>
      <c r="B65" s="125"/>
      <c r="C65" s="31"/>
      <c r="D65" s="67" t="s">
        <v>39</v>
      </c>
      <c r="E65" s="71" t="s">
        <v>40</v>
      </c>
      <c r="F65" s="61"/>
      <c r="G65" s="62" t="s">
        <v>15</v>
      </c>
      <c r="H65" s="83">
        <v>1.32</v>
      </c>
    </row>
    <row r="66" spans="1:8" customFormat="1" ht="15">
      <c r="A66" s="145"/>
      <c r="B66" s="125"/>
      <c r="C66" s="31"/>
      <c r="D66" s="32"/>
      <c r="E66" s="168" t="s">
        <v>2957</v>
      </c>
      <c r="F66" s="170">
        <v>1.32</v>
      </c>
      <c r="G66" s="29"/>
      <c r="H66" s="30"/>
    </row>
    <row r="67" spans="1:8" customFormat="1" ht="15">
      <c r="A67" s="145"/>
      <c r="B67" s="125"/>
      <c r="C67" s="125"/>
      <c r="D67" s="601"/>
      <c r="E67" s="193"/>
      <c r="F67" s="603"/>
      <c r="G67" s="32"/>
      <c r="H67" s="83"/>
    </row>
    <row r="68" spans="1:8" customFormat="1" ht="15">
      <c r="A68" s="145"/>
      <c r="B68" s="35" t="s">
        <v>72</v>
      </c>
      <c r="C68" s="93"/>
      <c r="D68" s="94"/>
      <c r="E68" s="50" t="s">
        <v>73</v>
      </c>
      <c r="F68" s="100"/>
      <c r="G68" s="101"/>
      <c r="H68" s="83"/>
    </row>
    <row r="69" spans="1:8" customFormat="1" ht="15">
      <c r="A69" s="145"/>
      <c r="B69" s="125"/>
      <c r="C69" s="125"/>
      <c r="D69" s="601"/>
      <c r="E69" s="168"/>
      <c r="F69" s="603"/>
      <c r="G69" s="32"/>
      <c r="H69" s="83"/>
    </row>
    <row r="70" spans="1:8" customFormat="1" ht="15">
      <c r="A70" s="34">
        <f>MAX(A$1:A69)+1</f>
        <v>8</v>
      </c>
      <c r="B70" s="125"/>
      <c r="C70" s="36" t="s">
        <v>74</v>
      </c>
      <c r="D70" s="37"/>
      <c r="E70" s="38" t="s">
        <v>75</v>
      </c>
      <c r="F70" s="39"/>
      <c r="G70" s="40" t="s">
        <v>18</v>
      </c>
      <c r="H70" s="64">
        <v>14.9</v>
      </c>
    </row>
    <row r="71" spans="1:8" customFormat="1" ht="15">
      <c r="A71" s="145"/>
      <c r="B71" s="125"/>
      <c r="C71" s="125"/>
      <c r="D71" s="67" t="s">
        <v>76</v>
      </c>
      <c r="E71" s="71" t="s">
        <v>77</v>
      </c>
      <c r="F71" s="61"/>
      <c r="G71" s="62" t="s">
        <v>18</v>
      </c>
      <c r="H71" s="83">
        <v>14.9</v>
      </c>
    </row>
    <row r="72" spans="1:8" customFormat="1" ht="15">
      <c r="A72" s="145"/>
      <c r="B72" s="125"/>
      <c r="C72" s="125"/>
      <c r="D72" s="601"/>
      <c r="E72" s="168" t="s">
        <v>2958</v>
      </c>
      <c r="F72" s="603">
        <f>1.2*2</f>
        <v>2.4</v>
      </c>
      <c r="G72" s="32"/>
      <c r="H72" s="83"/>
    </row>
    <row r="73" spans="1:8" customFormat="1" ht="15">
      <c r="A73" s="145"/>
      <c r="B73" s="125"/>
      <c r="C73" s="125"/>
      <c r="D73" s="601"/>
      <c r="E73" s="168" t="s">
        <v>2959</v>
      </c>
      <c r="F73" s="603">
        <f>(1.5*1.5*1.5)*3</f>
        <v>10.125</v>
      </c>
      <c r="G73" s="32"/>
      <c r="H73" s="83"/>
    </row>
    <row r="74" spans="1:8" customFormat="1" ht="15">
      <c r="A74" s="145"/>
      <c r="B74" s="125"/>
      <c r="C74" s="125"/>
      <c r="D74" s="601"/>
      <c r="E74" s="168" t="s">
        <v>2960</v>
      </c>
      <c r="F74" s="603">
        <f>(0.8*0.7*0.7)*5</f>
        <v>1.9599999999999997</v>
      </c>
      <c r="G74" s="32"/>
      <c r="H74" s="83"/>
    </row>
    <row r="75" spans="1:8" customFormat="1" ht="15">
      <c r="A75" s="145"/>
      <c r="B75" s="125"/>
      <c r="C75" s="125"/>
      <c r="D75" s="601"/>
      <c r="E75" s="168" t="s">
        <v>2961</v>
      </c>
      <c r="F75" s="705">
        <f>1.5*0.55*0.5</f>
        <v>0.41250000000000003</v>
      </c>
      <c r="G75" s="32"/>
      <c r="H75" s="83"/>
    </row>
    <row r="76" spans="1:8" customFormat="1" ht="15">
      <c r="A76" s="145"/>
      <c r="B76" s="125"/>
      <c r="C76" s="125"/>
      <c r="D76" s="601"/>
      <c r="E76" s="168" t="s">
        <v>2766</v>
      </c>
      <c r="F76" s="170">
        <f>SUM(F72:F75)</f>
        <v>14.897499999999999</v>
      </c>
      <c r="G76" s="32"/>
      <c r="H76" s="83"/>
    </row>
    <row r="77" spans="1:8" customFormat="1" ht="15">
      <c r="A77" s="145"/>
      <c r="B77" s="125"/>
      <c r="C77" s="125"/>
      <c r="D77" s="601"/>
      <c r="E77" s="168"/>
      <c r="F77" s="603"/>
      <c r="G77" s="32"/>
      <c r="H77" s="83"/>
    </row>
    <row r="78" spans="1:8" customFormat="1" ht="15">
      <c r="A78" s="34">
        <f>MAX(A$1:A77)+1</f>
        <v>9</v>
      </c>
      <c r="B78" s="31"/>
      <c r="C78" s="36" t="s">
        <v>158</v>
      </c>
      <c r="D78" s="37"/>
      <c r="E78" s="38" t="s">
        <v>159</v>
      </c>
      <c r="F78" s="39"/>
      <c r="G78" s="40" t="s">
        <v>18</v>
      </c>
      <c r="H78" s="64">
        <v>7.95</v>
      </c>
    </row>
    <row r="79" spans="1:8" customFormat="1" ht="15">
      <c r="A79" s="145"/>
      <c r="B79" s="31"/>
      <c r="C79" s="31"/>
      <c r="D79" s="67" t="s">
        <v>160</v>
      </c>
      <c r="E79" s="71" t="s">
        <v>161</v>
      </c>
      <c r="F79" s="61"/>
      <c r="G79" s="62" t="s">
        <v>18</v>
      </c>
      <c r="H79" s="83">
        <v>7.95</v>
      </c>
    </row>
    <row r="80" spans="1:8" customFormat="1" ht="15">
      <c r="A80" s="145"/>
      <c r="B80" s="31"/>
      <c r="C80" s="31"/>
      <c r="D80" s="67"/>
      <c r="E80" s="168" t="s">
        <v>2962</v>
      </c>
      <c r="F80" s="170">
        <f>32*0.35*0.19</f>
        <v>2.1279999999999997</v>
      </c>
      <c r="G80" s="62"/>
      <c r="H80" s="83"/>
    </row>
    <row r="81" spans="1:10" customFormat="1" ht="15">
      <c r="A81" s="145"/>
      <c r="B81" s="31"/>
      <c r="C81" s="31"/>
      <c r="D81" s="67"/>
      <c r="E81" s="168" t="s">
        <v>2963</v>
      </c>
      <c r="F81" s="170">
        <f>7*0.35*0.65</f>
        <v>1.5924999999999998</v>
      </c>
      <c r="G81" s="62"/>
      <c r="H81" s="83"/>
    </row>
    <row r="82" spans="1:10" customFormat="1" ht="15">
      <c r="A82" s="145"/>
      <c r="B82" s="31"/>
      <c r="C82" s="31"/>
      <c r="D82" s="32"/>
      <c r="E82" s="168" t="s">
        <v>2964</v>
      </c>
      <c r="F82" s="180">
        <f>10*0.65*0.65</f>
        <v>4.2250000000000005</v>
      </c>
      <c r="G82" s="29"/>
      <c r="H82" s="83"/>
    </row>
    <row r="83" spans="1:10" customFormat="1" ht="15">
      <c r="A83" s="145"/>
      <c r="B83" s="31"/>
      <c r="C83" s="31"/>
      <c r="D83" s="32"/>
      <c r="E83" s="168" t="s">
        <v>1130</v>
      </c>
      <c r="F83" s="706">
        <f>SUM(F80:F82)</f>
        <v>7.9455</v>
      </c>
      <c r="G83" s="29"/>
      <c r="H83" s="83"/>
    </row>
    <row r="84" spans="1:10" customFormat="1" ht="15">
      <c r="A84" s="145"/>
      <c r="B84" s="125"/>
      <c r="C84" s="125"/>
      <c r="D84" s="601"/>
      <c r="E84" s="168"/>
      <c r="F84" s="603"/>
      <c r="G84" s="32"/>
      <c r="H84" s="83"/>
    </row>
    <row r="85" spans="1:10" customFormat="1" ht="15">
      <c r="A85" s="34">
        <f>MAX(A$1:A84)+1</f>
        <v>10</v>
      </c>
      <c r="B85" s="31"/>
      <c r="C85" s="36" t="s">
        <v>58</v>
      </c>
      <c r="D85" s="248"/>
      <c r="E85" s="38" t="s">
        <v>59</v>
      </c>
      <c r="F85" s="78"/>
      <c r="G85" s="40" t="s">
        <v>18</v>
      </c>
      <c r="H85" s="64">
        <v>14.93</v>
      </c>
    </row>
    <row r="86" spans="1:10" customFormat="1" ht="15">
      <c r="A86" s="145"/>
      <c r="B86" s="31"/>
      <c r="C86" s="66"/>
      <c r="D86" s="242" t="s">
        <v>60</v>
      </c>
      <c r="E86" s="71" t="s">
        <v>61</v>
      </c>
      <c r="F86" s="28"/>
      <c r="G86" s="62" t="s">
        <v>18</v>
      </c>
      <c r="H86" s="83">
        <v>14.93</v>
      </c>
    </row>
    <row r="87" spans="1:10" customFormat="1" ht="15">
      <c r="A87" s="145"/>
      <c r="B87" s="31"/>
      <c r="C87" s="66"/>
      <c r="D87" s="242"/>
      <c r="E87" s="157" t="s">
        <v>2741</v>
      </c>
      <c r="F87" s="144">
        <f>F103</f>
        <v>14.932303999999998</v>
      </c>
      <c r="G87" s="62"/>
      <c r="H87" s="83"/>
    </row>
    <row r="88" spans="1:10" customFormat="1" ht="15">
      <c r="A88" s="145"/>
      <c r="B88" s="31"/>
      <c r="C88" s="66"/>
      <c r="D88" s="242"/>
      <c r="E88" s="157"/>
      <c r="F88" s="144"/>
      <c r="G88" s="62"/>
      <c r="H88" s="83"/>
    </row>
    <row r="89" spans="1:10" customFormat="1" ht="15">
      <c r="A89" s="34">
        <f>MAX(A$1:A88)+1</f>
        <v>11</v>
      </c>
      <c r="B89" s="31"/>
      <c r="C89" s="36" t="s">
        <v>78</v>
      </c>
      <c r="D89" s="37"/>
      <c r="E89" s="38" t="s">
        <v>79</v>
      </c>
      <c r="F89" s="39"/>
      <c r="G89" s="40" t="s">
        <v>18</v>
      </c>
      <c r="H89" s="64">
        <v>7.03</v>
      </c>
    </row>
    <row r="90" spans="1:10" customFormat="1" ht="15">
      <c r="A90" s="145"/>
      <c r="B90" s="31"/>
      <c r="C90" s="31"/>
      <c r="D90" s="67" t="s">
        <v>80</v>
      </c>
      <c r="E90" s="71" t="s">
        <v>81</v>
      </c>
      <c r="F90" s="61"/>
      <c r="G90" s="62" t="s">
        <v>18</v>
      </c>
      <c r="H90" s="83">
        <v>7.03</v>
      </c>
    </row>
    <row r="91" spans="1:10" customFormat="1" ht="15">
      <c r="A91" s="145"/>
      <c r="B91" s="31"/>
      <c r="C91" s="31"/>
      <c r="D91" s="67"/>
      <c r="E91" s="168" t="s">
        <v>2958</v>
      </c>
      <c r="F91" s="603">
        <f>1.2*2</f>
        <v>2.4</v>
      </c>
      <c r="G91" s="62"/>
      <c r="H91" s="83"/>
    </row>
    <row r="92" spans="1:10" customFormat="1" ht="15">
      <c r="A92" s="145"/>
      <c r="B92" s="31"/>
      <c r="C92" s="31"/>
      <c r="D92" s="32"/>
      <c r="E92" s="168" t="s">
        <v>2965</v>
      </c>
      <c r="F92" s="170">
        <f>32*0.35*0.09</f>
        <v>1.008</v>
      </c>
      <c r="G92" s="29"/>
      <c r="H92" s="83"/>
    </row>
    <row r="93" spans="1:10" customFormat="1" ht="15">
      <c r="A93" s="145"/>
      <c r="B93" s="31"/>
      <c r="C93" s="31"/>
      <c r="D93" s="32"/>
      <c r="E93" s="168" t="s">
        <v>2966</v>
      </c>
      <c r="F93" s="170">
        <f>7*0.35*0.55</f>
        <v>1.3474999999999999</v>
      </c>
      <c r="G93" s="29"/>
      <c r="H93" s="83"/>
    </row>
    <row r="94" spans="1:10" customFormat="1" ht="15">
      <c r="A94" s="145"/>
      <c r="B94" s="31"/>
      <c r="C94" s="31"/>
      <c r="D94" s="32"/>
      <c r="E94" s="168" t="s">
        <v>2967</v>
      </c>
      <c r="F94" s="180">
        <f>10*0.65*0.35</f>
        <v>2.2749999999999999</v>
      </c>
      <c r="G94" s="29"/>
      <c r="H94" s="83"/>
      <c r="J94" s="208"/>
    </row>
    <row r="95" spans="1:10" customFormat="1" ht="15">
      <c r="A95" s="145"/>
      <c r="B95" s="31"/>
      <c r="C95" s="31"/>
      <c r="D95" s="32"/>
      <c r="E95" s="168" t="s">
        <v>1130</v>
      </c>
      <c r="F95" s="706">
        <f>SUM(F91:F94)</f>
        <v>7.0305</v>
      </c>
      <c r="G95" s="29"/>
      <c r="H95" s="83"/>
    </row>
    <row r="96" spans="1:10" customFormat="1" ht="15">
      <c r="A96" s="145"/>
      <c r="B96" s="31"/>
      <c r="C96" s="66"/>
      <c r="D96" s="242"/>
      <c r="E96" s="157"/>
      <c r="F96" s="144"/>
      <c r="G96" s="62"/>
      <c r="H96" s="83"/>
    </row>
    <row r="97" spans="1:8" customFormat="1" ht="15">
      <c r="A97" s="34">
        <f>MAX(A$1:A96)+1</f>
        <v>12</v>
      </c>
      <c r="B97" s="31"/>
      <c r="C97" s="36" t="s">
        <v>472</v>
      </c>
      <c r="D97" s="248"/>
      <c r="E97" s="38" t="s">
        <v>473</v>
      </c>
      <c r="F97" s="78"/>
      <c r="G97" s="40" t="s">
        <v>18</v>
      </c>
      <c r="H97" s="64">
        <v>1.37</v>
      </c>
    </row>
    <row r="98" spans="1:8" customFormat="1" ht="15">
      <c r="A98" s="145"/>
      <c r="B98" s="31"/>
      <c r="C98" s="66"/>
      <c r="D98" s="67" t="s">
        <v>2745</v>
      </c>
      <c r="E98" s="71" t="s">
        <v>2746</v>
      </c>
      <c r="F98" s="61"/>
      <c r="G98" s="62" t="s">
        <v>18</v>
      </c>
      <c r="H98" s="83">
        <v>1.37</v>
      </c>
    </row>
    <row r="99" spans="1:8" customFormat="1" ht="15">
      <c r="A99" s="145"/>
      <c r="B99" s="31"/>
      <c r="C99" s="66"/>
      <c r="D99" s="242"/>
      <c r="E99" s="157" t="s">
        <v>2968</v>
      </c>
      <c r="F99" s="144">
        <f>(32+7)*0.35*0.1</f>
        <v>1.365</v>
      </c>
      <c r="G99" s="62"/>
      <c r="H99" s="83"/>
    </row>
    <row r="100" spans="1:8" customFormat="1" ht="15">
      <c r="A100" s="145"/>
      <c r="B100" s="31"/>
      <c r="C100" s="31"/>
      <c r="D100" s="32"/>
      <c r="E100" s="168"/>
      <c r="F100" s="603"/>
      <c r="G100" s="29"/>
      <c r="H100" s="83"/>
    </row>
    <row r="101" spans="1:8" customFormat="1" ht="15">
      <c r="A101" s="34">
        <f>MAX(A$1:A100)+1</f>
        <v>13</v>
      </c>
      <c r="B101" s="43"/>
      <c r="C101" s="36" t="s">
        <v>50</v>
      </c>
      <c r="D101" s="37"/>
      <c r="E101" s="38" t="s">
        <v>51</v>
      </c>
      <c r="F101" s="39"/>
      <c r="G101" s="40" t="s">
        <v>18</v>
      </c>
      <c r="H101" s="64">
        <v>14.93</v>
      </c>
    </row>
    <row r="102" spans="1:8" customFormat="1" ht="25.5">
      <c r="A102" s="145"/>
      <c r="B102" s="73"/>
      <c r="C102" s="66"/>
      <c r="D102" s="67" t="s">
        <v>138</v>
      </c>
      <c r="E102" s="71" t="s">
        <v>139</v>
      </c>
      <c r="F102" s="61"/>
      <c r="G102" s="62" t="s">
        <v>18</v>
      </c>
      <c r="H102" s="83">
        <v>14.93</v>
      </c>
    </row>
    <row r="103" spans="1:8" customFormat="1" ht="25.5">
      <c r="A103" s="145"/>
      <c r="B103" s="31"/>
      <c r="C103" s="31"/>
      <c r="D103" s="32"/>
      <c r="E103" s="168" t="s">
        <v>2969</v>
      </c>
      <c r="F103" s="170">
        <f>(14.9+7.95+(3.14*(0.08*0.08)*24)-7.03-1.37)</f>
        <v>14.932303999999998</v>
      </c>
      <c r="G103" s="29"/>
      <c r="H103" s="83"/>
    </row>
    <row r="104" spans="1:8" customFormat="1" ht="15">
      <c r="A104" s="145"/>
      <c r="B104" s="31"/>
      <c r="C104" s="31"/>
      <c r="D104" s="32"/>
      <c r="E104" s="168"/>
      <c r="F104" s="172"/>
      <c r="G104" s="29"/>
      <c r="H104" s="83"/>
    </row>
    <row r="105" spans="1:8" customFormat="1" ht="15">
      <c r="A105" s="34">
        <f>MAX(A$1:A104)+1</f>
        <v>14</v>
      </c>
      <c r="B105" s="31"/>
      <c r="C105" s="36" t="s">
        <v>484</v>
      </c>
      <c r="D105" s="37"/>
      <c r="E105" s="38" t="s">
        <v>485</v>
      </c>
      <c r="F105" s="39"/>
      <c r="G105" s="40" t="s">
        <v>36</v>
      </c>
      <c r="H105" s="64">
        <v>24</v>
      </c>
    </row>
    <row r="106" spans="1:8" customFormat="1" ht="25.5">
      <c r="A106" s="145"/>
      <c r="B106" s="31"/>
      <c r="C106" s="66"/>
      <c r="D106" s="67" t="s">
        <v>486</v>
      </c>
      <c r="E106" s="71" t="s">
        <v>487</v>
      </c>
      <c r="F106" s="61"/>
      <c r="G106" s="62" t="s">
        <v>36</v>
      </c>
      <c r="H106" s="83">
        <v>24</v>
      </c>
    </row>
    <row r="107" spans="1:8" customFormat="1" ht="15">
      <c r="A107" s="145"/>
      <c r="B107" s="31"/>
      <c r="C107" s="125"/>
      <c r="D107" s="601"/>
      <c r="E107" s="168" t="s">
        <v>2970</v>
      </c>
      <c r="F107" s="603">
        <v>24</v>
      </c>
      <c r="G107" s="32"/>
      <c r="H107" s="83"/>
    </row>
    <row r="108" spans="1:8" customFormat="1" ht="15">
      <c r="A108" s="145"/>
      <c r="B108" s="125"/>
      <c r="C108" s="125"/>
      <c r="D108" s="601"/>
      <c r="E108" s="193"/>
      <c r="F108" s="603"/>
      <c r="G108" s="32"/>
      <c r="H108" s="83"/>
    </row>
    <row r="109" spans="1:8" customFormat="1" ht="15">
      <c r="A109" s="145"/>
      <c r="B109" s="35" t="s">
        <v>2749</v>
      </c>
      <c r="C109" s="35"/>
      <c r="D109" s="94"/>
      <c r="E109" s="50" t="s">
        <v>2750</v>
      </c>
      <c r="F109" s="28"/>
      <c r="G109" s="29"/>
      <c r="H109" s="83"/>
    </row>
    <row r="110" spans="1:8" customFormat="1" ht="15">
      <c r="A110" s="145"/>
      <c r="B110" s="31"/>
      <c r="C110" s="31"/>
      <c r="D110" s="32"/>
      <c r="E110" s="33"/>
      <c r="F110" s="28"/>
      <c r="G110" s="29"/>
      <c r="H110" s="83"/>
    </row>
    <row r="111" spans="1:8" customFormat="1" ht="15">
      <c r="A111" s="34">
        <f>MAX(A$1:A110)+1</f>
        <v>15</v>
      </c>
      <c r="B111" s="31"/>
      <c r="C111" s="36" t="s">
        <v>418</v>
      </c>
      <c r="D111" s="37"/>
      <c r="E111" s="38" t="s">
        <v>419</v>
      </c>
      <c r="F111" s="39"/>
      <c r="G111" s="40" t="s">
        <v>18</v>
      </c>
      <c r="H111" s="64">
        <v>12.5</v>
      </c>
    </row>
    <row r="112" spans="1:8" customFormat="1" ht="15">
      <c r="A112" s="145"/>
      <c r="B112" s="31"/>
      <c r="C112" s="31"/>
      <c r="D112" s="191" t="s">
        <v>2751</v>
      </c>
      <c r="E112" s="193" t="s">
        <v>2752</v>
      </c>
      <c r="F112" s="192"/>
      <c r="G112" s="32" t="s">
        <v>18</v>
      </c>
      <c r="H112" s="83">
        <v>12.5</v>
      </c>
    </row>
    <row r="113" spans="1:8" customFormat="1" ht="15">
      <c r="A113" s="145"/>
      <c r="B113" s="31"/>
      <c r="C113" s="31"/>
      <c r="D113" s="191"/>
      <c r="E113" s="168" t="s">
        <v>2971</v>
      </c>
      <c r="F113" s="603">
        <f>(1.5*1.5*1.5)*3</f>
        <v>10.125</v>
      </c>
      <c r="G113" s="32"/>
      <c r="H113" s="83"/>
    </row>
    <row r="114" spans="1:8" customFormat="1" ht="15">
      <c r="A114" s="145"/>
      <c r="B114" s="31"/>
      <c r="C114" s="31"/>
      <c r="D114" s="191"/>
      <c r="E114" s="168" t="s">
        <v>2972</v>
      </c>
      <c r="F114" s="603">
        <f>(0.8*0.7*0.7)*5</f>
        <v>1.9599999999999997</v>
      </c>
      <c r="G114" s="32"/>
      <c r="H114" s="83"/>
    </row>
    <row r="115" spans="1:8" customFormat="1" ht="15">
      <c r="A115" s="145"/>
      <c r="B115" s="31"/>
      <c r="C115" s="31"/>
      <c r="D115" s="191"/>
      <c r="E115" s="168" t="s">
        <v>2973</v>
      </c>
      <c r="F115" s="705">
        <f>1.5*0.55*0.5</f>
        <v>0.41250000000000003</v>
      </c>
      <c r="G115" s="32"/>
      <c r="H115" s="83"/>
    </row>
    <row r="116" spans="1:8" customFormat="1" ht="15">
      <c r="A116" s="145"/>
      <c r="B116" s="31"/>
      <c r="C116" s="31"/>
      <c r="D116" s="191"/>
      <c r="E116" s="168" t="s">
        <v>2766</v>
      </c>
      <c r="F116" s="170">
        <f>SUM(F113:F115)</f>
        <v>12.497499999999999</v>
      </c>
      <c r="G116" s="32"/>
      <c r="H116" s="83"/>
    </row>
    <row r="117" spans="1:8" customFormat="1" ht="15">
      <c r="A117" s="145"/>
      <c r="B117" s="31"/>
      <c r="C117" s="31"/>
      <c r="D117" s="32"/>
      <c r="E117" s="33"/>
      <c r="F117" s="28"/>
      <c r="G117" s="29"/>
      <c r="H117" s="83"/>
    </row>
    <row r="118" spans="1:8" customFormat="1" ht="15">
      <c r="A118" s="34">
        <f>MAX(A$1:A117)+1</f>
        <v>16</v>
      </c>
      <c r="B118" s="31"/>
      <c r="C118" s="36" t="s">
        <v>2754</v>
      </c>
      <c r="D118" s="37"/>
      <c r="E118" s="38" t="s">
        <v>2755</v>
      </c>
      <c r="F118" s="39"/>
      <c r="G118" s="40" t="s">
        <v>21</v>
      </c>
      <c r="H118" s="64">
        <v>10.3</v>
      </c>
    </row>
    <row r="119" spans="1:8" customFormat="1" ht="15">
      <c r="A119" s="145"/>
      <c r="B119" s="31"/>
      <c r="C119" s="31"/>
      <c r="D119" s="67" t="s">
        <v>2756</v>
      </c>
      <c r="E119" s="71" t="s">
        <v>2757</v>
      </c>
      <c r="F119" s="61"/>
      <c r="G119" s="62" t="s">
        <v>21</v>
      </c>
      <c r="H119" s="83">
        <v>10.3</v>
      </c>
    </row>
    <row r="120" spans="1:8" customFormat="1" ht="15">
      <c r="A120" s="145"/>
      <c r="B120" s="31"/>
      <c r="C120" s="31"/>
      <c r="D120" s="67"/>
      <c r="E120" s="168" t="s">
        <v>2974</v>
      </c>
      <c r="F120" s="603">
        <f>(1.5*1.5)*3</f>
        <v>6.75</v>
      </c>
      <c r="G120" s="62"/>
      <c r="H120" s="83"/>
    </row>
    <row r="121" spans="1:8" customFormat="1" ht="15">
      <c r="A121" s="145"/>
      <c r="B121" s="31"/>
      <c r="C121" s="31"/>
      <c r="D121" s="67"/>
      <c r="E121" s="168" t="s">
        <v>2975</v>
      </c>
      <c r="F121" s="603">
        <f>(0.8*0.7)*5</f>
        <v>2.8</v>
      </c>
      <c r="G121" s="62"/>
      <c r="H121" s="83"/>
    </row>
    <row r="122" spans="1:8" customFormat="1" ht="15">
      <c r="A122" s="145"/>
      <c r="B122" s="31"/>
      <c r="C122" s="31"/>
      <c r="D122" s="67"/>
      <c r="E122" s="168" t="s">
        <v>2976</v>
      </c>
      <c r="F122" s="705">
        <f>1.5*0.5</f>
        <v>0.75</v>
      </c>
      <c r="G122" s="62"/>
      <c r="H122" s="83"/>
    </row>
    <row r="123" spans="1:8" customFormat="1" ht="15">
      <c r="A123" s="145"/>
      <c r="B123" s="31"/>
      <c r="C123" s="31"/>
      <c r="D123" s="67"/>
      <c r="E123" s="168" t="s">
        <v>2766</v>
      </c>
      <c r="F123" s="170">
        <f>SUM(F120:F122)</f>
        <v>10.3</v>
      </c>
      <c r="G123" s="62"/>
      <c r="H123" s="83"/>
    </row>
    <row r="124" spans="1:8" customFormat="1" ht="15">
      <c r="A124" s="145"/>
      <c r="B124" s="125"/>
      <c r="C124" s="125"/>
      <c r="D124" s="601"/>
      <c r="E124" s="193"/>
      <c r="F124" s="603"/>
      <c r="G124" s="32"/>
      <c r="H124" s="83"/>
    </row>
    <row r="125" spans="1:8" customFormat="1" ht="25.5">
      <c r="A125" s="145"/>
      <c r="B125" s="35" t="s">
        <v>270</v>
      </c>
      <c r="C125" s="35"/>
      <c r="D125" s="94"/>
      <c r="E125" s="50" t="s">
        <v>271</v>
      </c>
      <c r="F125" s="28"/>
      <c r="G125" s="29"/>
      <c r="H125" s="30"/>
    </row>
    <row r="126" spans="1:8" customFormat="1" ht="15">
      <c r="A126" s="145"/>
      <c r="B126" s="31"/>
      <c r="C126" s="31"/>
      <c r="D126" s="32"/>
      <c r="E126" s="33"/>
      <c r="F126" s="28"/>
      <c r="G126" s="29"/>
      <c r="H126" s="30"/>
    </row>
    <row r="127" spans="1:8" customFormat="1" ht="25.5">
      <c r="A127" s="34">
        <f>MAX(A$1:A126)+1</f>
        <v>17</v>
      </c>
      <c r="B127" s="31"/>
      <c r="C127" s="36" t="s">
        <v>2759</v>
      </c>
      <c r="D127" s="37"/>
      <c r="E127" s="38" t="s">
        <v>2760</v>
      </c>
      <c r="F127" s="39"/>
      <c r="G127" s="40" t="s">
        <v>18</v>
      </c>
      <c r="H127" s="64">
        <v>1.87</v>
      </c>
    </row>
    <row r="128" spans="1:8" customFormat="1" ht="25.5">
      <c r="A128" s="145"/>
      <c r="B128" s="31"/>
      <c r="C128" s="31"/>
      <c r="D128" s="191" t="s">
        <v>2761</v>
      </c>
      <c r="E128" s="193" t="s">
        <v>2762</v>
      </c>
      <c r="F128" s="192"/>
      <c r="G128" s="62" t="s">
        <v>18</v>
      </c>
      <c r="H128" s="83">
        <v>1.87</v>
      </c>
    </row>
    <row r="129" spans="1:8" customFormat="1" ht="25.5">
      <c r="A129" s="145"/>
      <c r="B129" s="31"/>
      <c r="C129" s="31"/>
      <c r="D129" s="32"/>
      <c r="E129" s="168" t="s">
        <v>2977</v>
      </c>
      <c r="F129" s="170">
        <f>(10*0.65*0.3)-(3.14*(0.05*0.05)*10)</f>
        <v>1.8714999999999999</v>
      </c>
      <c r="G129" s="29"/>
      <c r="H129" s="30"/>
    </row>
    <row r="130" spans="1:8" customFormat="1" ht="15">
      <c r="A130" s="145"/>
      <c r="B130" s="31"/>
      <c r="C130" s="31"/>
      <c r="D130" s="32"/>
      <c r="E130" s="33"/>
      <c r="F130" s="28"/>
      <c r="G130" s="29"/>
      <c r="H130" s="30"/>
    </row>
    <row r="131" spans="1:8" customFormat="1" ht="25.5">
      <c r="A131" s="34">
        <f>MAX(A$1:A130)+1</f>
        <v>18</v>
      </c>
      <c r="B131" s="31"/>
      <c r="C131" s="36" t="s">
        <v>576</v>
      </c>
      <c r="D131" s="37"/>
      <c r="E131" s="38" t="s">
        <v>577</v>
      </c>
      <c r="F131" s="39"/>
      <c r="G131" s="40" t="s">
        <v>36</v>
      </c>
      <c r="H131" s="64">
        <v>88</v>
      </c>
    </row>
    <row r="132" spans="1:8" customFormat="1" ht="25.5">
      <c r="A132" s="145"/>
      <c r="B132" s="31"/>
      <c r="C132" s="31"/>
      <c r="D132" s="67" t="s">
        <v>754</v>
      </c>
      <c r="E132" s="71" t="s">
        <v>755</v>
      </c>
      <c r="F132" s="61"/>
      <c r="G132" s="62" t="s">
        <v>36</v>
      </c>
      <c r="H132" s="83">
        <v>88</v>
      </c>
    </row>
    <row r="133" spans="1:8" customFormat="1" ht="15">
      <c r="A133" s="145"/>
      <c r="B133" s="31"/>
      <c r="C133" s="31"/>
      <c r="D133" s="32"/>
      <c r="E133" s="168" t="s">
        <v>2978</v>
      </c>
      <c r="F133" s="170">
        <f>(32+7)*2</f>
        <v>78</v>
      </c>
      <c r="G133" s="29"/>
      <c r="H133" s="30"/>
    </row>
    <row r="134" spans="1:8" customFormat="1" ht="15">
      <c r="A134" s="145"/>
      <c r="B134" s="31"/>
      <c r="C134" s="31"/>
      <c r="D134" s="32"/>
      <c r="E134" s="168" t="s">
        <v>2979</v>
      </c>
      <c r="F134" s="180">
        <f>10*1</f>
        <v>10</v>
      </c>
      <c r="G134" s="29"/>
      <c r="H134" s="30"/>
    </row>
    <row r="135" spans="1:8" customFormat="1" ht="15">
      <c r="A135" s="145"/>
      <c r="B135" s="31"/>
      <c r="C135" s="31"/>
      <c r="D135" s="32"/>
      <c r="E135" s="168" t="s">
        <v>2766</v>
      </c>
      <c r="F135" s="170">
        <f>SUM(F133:F134)</f>
        <v>88</v>
      </c>
      <c r="G135" s="29"/>
      <c r="H135" s="30"/>
    </row>
    <row r="136" spans="1:8" customFormat="1" ht="15">
      <c r="A136" s="145"/>
      <c r="B136" s="125"/>
      <c r="C136" s="125"/>
      <c r="D136" s="601"/>
      <c r="E136" s="193"/>
      <c r="F136" s="603"/>
      <c r="G136" s="32"/>
      <c r="H136" s="83"/>
    </row>
    <row r="137" spans="1:8" customFormat="1" ht="15">
      <c r="A137" s="95"/>
      <c r="B137" s="35" t="s">
        <v>621</v>
      </c>
      <c r="C137" s="35"/>
      <c r="D137" s="94"/>
      <c r="E137" s="50" t="s">
        <v>622</v>
      </c>
      <c r="F137" s="100"/>
      <c r="G137" s="97"/>
      <c r="H137" s="42"/>
    </row>
    <row r="138" spans="1:8" customFormat="1" ht="15">
      <c r="A138" s="95"/>
      <c r="B138" s="35"/>
      <c r="C138" s="35"/>
      <c r="D138" s="94"/>
      <c r="E138" s="50"/>
      <c r="F138" s="100"/>
      <c r="G138" s="97"/>
      <c r="H138" s="42"/>
    </row>
    <row r="139" spans="1:8" customFormat="1" ht="15">
      <c r="A139" s="34">
        <f>MAX(A$1:A138)+1</f>
        <v>19</v>
      </c>
      <c r="B139" s="35"/>
      <c r="C139" s="195">
        <v>92010101</v>
      </c>
      <c r="D139" s="196"/>
      <c r="E139" s="38" t="s">
        <v>2852</v>
      </c>
      <c r="F139" s="39"/>
      <c r="G139" s="40" t="s">
        <v>33</v>
      </c>
      <c r="H139" s="64">
        <v>11</v>
      </c>
    </row>
    <row r="140" spans="1:8" customFormat="1" ht="15">
      <c r="A140" s="34"/>
      <c r="B140" s="35"/>
      <c r="C140" s="35"/>
      <c r="D140" s="199">
        <v>9201010104</v>
      </c>
      <c r="E140" s="71" t="s">
        <v>2908</v>
      </c>
      <c r="F140" s="61"/>
      <c r="G140" s="62" t="s">
        <v>33</v>
      </c>
      <c r="H140" s="83">
        <v>11</v>
      </c>
    </row>
    <row r="141" spans="1:8" customFormat="1" ht="25.5">
      <c r="A141" s="34"/>
      <c r="B141" s="35"/>
      <c r="C141" s="35"/>
      <c r="D141" s="199"/>
      <c r="E141" s="168" t="s">
        <v>2980</v>
      </c>
      <c r="F141" s="603">
        <v>4</v>
      </c>
      <c r="G141" s="62"/>
      <c r="H141" s="83"/>
    </row>
    <row r="142" spans="1:8" customFormat="1" ht="25.5">
      <c r="A142" s="34"/>
      <c r="B142" s="35"/>
      <c r="C142" s="35"/>
      <c r="D142" s="199"/>
      <c r="E142" s="168" t="s">
        <v>2981</v>
      </c>
      <c r="F142" s="603">
        <v>1</v>
      </c>
      <c r="G142" s="62"/>
      <c r="H142" s="83"/>
    </row>
    <row r="143" spans="1:8" customFormat="1" ht="25.5">
      <c r="A143" s="34"/>
      <c r="B143" s="35"/>
      <c r="C143" s="35"/>
      <c r="D143" s="94"/>
      <c r="E143" s="168" t="s">
        <v>2982</v>
      </c>
      <c r="F143" s="603">
        <v>3</v>
      </c>
      <c r="G143" s="97"/>
      <c r="H143" s="42"/>
    </row>
    <row r="144" spans="1:8" customFormat="1" ht="15">
      <c r="A144" s="34"/>
      <c r="B144" s="35"/>
      <c r="C144" s="35"/>
      <c r="D144" s="94"/>
      <c r="E144" s="168" t="s">
        <v>2983</v>
      </c>
      <c r="F144" s="603">
        <v>1</v>
      </c>
      <c r="G144" s="97"/>
      <c r="H144" s="42"/>
    </row>
    <row r="145" spans="1:8" customFormat="1" ht="15">
      <c r="A145" s="34"/>
      <c r="B145" s="35"/>
      <c r="C145" s="35"/>
      <c r="D145" s="94"/>
      <c r="E145" s="168" t="s">
        <v>2984</v>
      </c>
      <c r="F145" s="603">
        <v>1</v>
      </c>
      <c r="G145" s="97"/>
      <c r="H145" s="42"/>
    </row>
    <row r="146" spans="1:8" customFormat="1" ht="15">
      <c r="A146" s="34"/>
      <c r="B146" s="35"/>
      <c r="C146" s="35"/>
      <c r="D146" s="94"/>
      <c r="E146" s="168" t="s">
        <v>2985</v>
      </c>
      <c r="F146" s="705">
        <v>1</v>
      </c>
      <c r="G146" s="97"/>
      <c r="H146" s="42"/>
    </row>
    <row r="147" spans="1:8" customFormat="1" ht="15">
      <c r="A147" s="34"/>
      <c r="B147" s="35"/>
      <c r="C147" s="35"/>
      <c r="D147" s="94"/>
      <c r="E147" s="168" t="s">
        <v>1130</v>
      </c>
      <c r="F147" s="706">
        <f>SUM(F141:F146)</f>
        <v>11</v>
      </c>
      <c r="G147" s="97"/>
      <c r="H147" s="42"/>
    </row>
    <row r="148" spans="1:8" customFormat="1" ht="15">
      <c r="A148" s="34"/>
      <c r="B148" s="35"/>
      <c r="C148" s="35"/>
      <c r="D148" s="94"/>
      <c r="E148" s="50"/>
      <c r="F148" s="100"/>
      <c r="G148" s="97"/>
      <c r="H148" s="42"/>
    </row>
    <row r="149" spans="1:8" customFormat="1" ht="15">
      <c r="A149" s="34">
        <f>MAX(A$1:A148)+1</f>
        <v>20</v>
      </c>
      <c r="B149" s="35"/>
      <c r="C149" s="195">
        <v>92010109</v>
      </c>
      <c r="D149" s="196"/>
      <c r="E149" s="38" t="s">
        <v>2855</v>
      </c>
      <c r="F149" s="39"/>
      <c r="G149" s="40" t="s">
        <v>33</v>
      </c>
      <c r="H149" s="64">
        <v>8</v>
      </c>
    </row>
    <row r="150" spans="1:8" customFormat="1" ht="15">
      <c r="A150" s="95"/>
      <c r="B150" s="35"/>
      <c r="C150" s="198"/>
      <c r="D150" s="199">
        <v>9201010902</v>
      </c>
      <c r="E150" s="71" t="s">
        <v>2856</v>
      </c>
      <c r="F150" s="61"/>
      <c r="G150" s="62" t="s">
        <v>33</v>
      </c>
      <c r="H150" s="83">
        <v>8</v>
      </c>
    </row>
    <row r="151" spans="1:8" customFormat="1" ht="15">
      <c r="A151" s="95"/>
      <c r="B151" s="35"/>
      <c r="C151" s="125"/>
      <c r="D151" s="601"/>
      <c r="E151" s="168" t="s">
        <v>2986</v>
      </c>
      <c r="F151" s="603">
        <v>8</v>
      </c>
      <c r="G151" s="32"/>
      <c r="H151" s="83"/>
    </row>
    <row r="152" spans="1:8" customFormat="1" ht="15">
      <c r="A152" s="95"/>
      <c r="B152" s="35"/>
      <c r="C152" s="125"/>
      <c r="D152" s="601"/>
      <c r="E152" s="168"/>
      <c r="F152" s="603"/>
      <c r="G152" s="32"/>
      <c r="H152" s="83"/>
    </row>
    <row r="153" spans="1:8" customFormat="1" ht="25.5">
      <c r="A153" s="34">
        <f>MAX(A$1:A152)+1</f>
        <v>21</v>
      </c>
      <c r="B153" s="35"/>
      <c r="C153" s="195">
        <v>92020102</v>
      </c>
      <c r="D153" s="196"/>
      <c r="E153" s="38" t="s">
        <v>756</v>
      </c>
      <c r="F153" s="39"/>
      <c r="G153" s="40" t="s">
        <v>36</v>
      </c>
      <c r="H153" s="64">
        <v>1012</v>
      </c>
    </row>
    <row r="154" spans="1:8" customFormat="1" ht="25.5">
      <c r="A154" s="95"/>
      <c r="B154" s="35"/>
      <c r="C154" s="31"/>
      <c r="D154" s="199">
        <v>9202010205</v>
      </c>
      <c r="E154" s="71" t="s">
        <v>757</v>
      </c>
      <c r="F154" s="61"/>
      <c r="G154" s="62" t="s">
        <v>36</v>
      </c>
      <c r="H154" s="83">
        <v>1012</v>
      </c>
    </row>
    <row r="155" spans="1:8" customFormat="1" ht="15">
      <c r="A155" s="95"/>
      <c r="B155" s="35"/>
      <c r="C155" s="31"/>
      <c r="D155" s="199"/>
      <c r="E155" s="168" t="s">
        <v>1385</v>
      </c>
      <c r="F155" s="170">
        <v>588</v>
      </c>
      <c r="G155" s="62"/>
      <c r="H155" s="83"/>
    </row>
    <row r="156" spans="1:8" customFormat="1" ht="15">
      <c r="A156" s="95"/>
      <c r="B156" s="35"/>
      <c r="C156" s="31"/>
      <c r="D156" s="32"/>
      <c r="E156" s="168" t="s">
        <v>2987</v>
      </c>
      <c r="F156" s="170">
        <v>208</v>
      </c>
      <c r="G156" s="29"/>
      <c r="H156" s="30"/>
    </row>
    <row r="157" spans="1:8" customFormat="1" ht="15">
      <c r="A157" s="95"/>
      <c r="B157" s="35"/>
      <c r="C157" s="31"/>
      <c r="D157" s="32"/>
      <c r="E157" s="168" t="s">
        <v>2988</v>
      </c>
      <c r="F157" s="170">
        <v>22</v>
      </c>
      <c r="G157" s="29"/>
      <c r="H157" s="30"/>
    </row>
    <row r="158" spans="1:8" customFormat="1" ht="15">
      <c r="A158" s="95"/>
      <c r="B158" s="35"/>
      <c r="C158" s="31"/>
      <c r="D158" s="32"/>
      <c r="E158" s="168" t="s">
        <v>2989</v>
      </c>
      <c r="F158" s="180">
        <v>194</v>
      </c>
      <c r="G158" s="29"/>
      <c r="H158" s="30"/>
    </row>
    <row r="159" spans="1:8" customFormat="1" ht="15">
      <c r="A159" s="95"/>
      <c r="B159" s="35"/>
      <c r="C159" s="31"/>
      <c r="D159" s="32"/>
      <c r="E159" s="168" t="s">
        <v>2766</v>
      </c>
      <c r="F159" s="170">
        <f>SUM(F155:F158)</f>
        <v>1012</v>
      </c>
      <c r="G159" s="29"/>
      <c r="H159" s="30"/>
    </row>
    <row r="160" spans="1:8" customFormat="1" ht="15">
      <c r="A160" s="95"/>
      <c r="B160" s="35"/>
      <c r="C160" s="125"/>
      <c r="D160" s="601"/>
      <c r="E160" s="168"/>
      <c r="F160" s="603"/>
      <c r="G160" s="32"/>
      <c r="H160" s="83"/>
    </row>
    <row r="161" spans="1:8" customFormat="1" ht="25.5">
      <c r="A161" s="34">
        <f>MAX(A$1:A160)+1</f>
        <v>22</v>
      </c>
      <c r="B161" s="125"/>
      <c r="C161" s="195">
        <v>92020105</v>
      </c>
      <c r="D161" s="196"/>
      <c r="E161" s="38" t="s">
        <v>2768</v>
      </c>
      <c r="F161" s="39"/>
      <c r="G161" s="40" t="s">
        <v>36</v>
      </c>
      <c r="H161" s="64">
        <v>126</v>
      </c>
    </row>
    <row r="162" spans="1:8" customFormat="1" ht="25.5">
      <c r="A162" s="34"/>
      <c r="B162" s="125"/>
      <c r="C162" s="125"/>
      <c r="D162" s="199">
        <v>9202010510</v>
      </c>
      <c r="E162" s="71" t="s">
        <v>2912</v>
      </c>
      <c r="F162" s="61"/>
      <c r="G162" s="62" t="s">
        <v>36</v>
      </c>
      <c r="H162" s="83">
        <v>126</v>
      </c>
    </row>
    <row r="163" spans="1:8" customFormat="1" ht="15">
      <c r="A163" s="34"/>
      <c r="B163" s="125"/>
      <c r="C163" s="125"/>
      <c r="D163" s="199"/>
      <c r="E163" s="168" t="s">
        <v>2990</v>
      </c>
      <c r="F163" s="603">
        <v>16</v>
      </c>
      <c r="G163" s="62"/>
      <c r="H163" s="83"/>
    </row>
    <row r="164" spans="1:8" customFormat="1" ht="15">
      <c r="A164" s="34"/>
      <c r="B164" s="125"/>
      <c r="C164" s="125"/>
      <c r="D164" s="601"/>
      <c r="E164" s="168" t="s">
        <v>2913</v>
      </c>
      <c r="F164" s="603">
        <v>98</v>
      </c>
      <c r="G164" s="32"/>
      <c r="H164" s="83"/>
    </row>
    <row r="165" spans="1:8" customFormat="1" ht="15">
      <c r="A165" s="34"/>
      <c r="B165" s="125"/>
      <c r="C165" s="125"/>
      <c r="D165" s="601"/>
      <c r="E165" s="168" t="s">
        <v>2991</v>
      </c>
      <c r="F165" s="705">
        <v>12</v>
      </c>
      <c r="G165" s="32"/>
      <c r="H165" s="83"/>
    </row>
    <row r="166" spans="1:8" customFormat="1" ht="15">
      <c r="A166" s="34"/>
      <c r="B166" s="125"/>
      <c r="C166" s="125"/>
      <c r="D166" s="601"/>
      <c r="E166" s="168" t="s">
        <v>2766</v>
      </c>
      <c r="F166" s="170">
        <f>SUM(F163:F165)</f>
        <v>126</v>
      </c>
      <c r="G166" s="32"/>
      <c r="H166" s="83"/>
    </row>
    <row r="167" spans="1:8" customFormat="1" ht="15">
      <c r="A167" s="34"/>
      <c r="B167" s="125"/>
      <c r="C167" s="125"/>
      <c r="D167" s="601"/>
      <c r="E167" s="193"/>
      <c r="F167" s="603"/>
      <c r="G167" s="32"/>
      <c r="H167" s="83"/>
    </row>
    <row r="168" spans="1:8" customFormat="1" ht="25.5">
      <c r="A168" s="34">
        <f>MAX(A$1:A167)+1</f>
        <v>23</v>
      </c>
      <c r="B168" s="43"/>
      <c r="C168" s="195">
        <v>92020301</v>
      </c>
      <c r="D168" s="196"/>
      <c r="E168" s="38" t="s">
        <v>476</v>
      </c>
      <c r="F168" s="39"/>
      <c r="G168" s="40" t="s">
        <v>33</v>
      </c>
      <c r="H168" s="64">
        <v>107</v>
      </c>
    </row>
    <row r="169" spans="1:8" customFormat="1" ht="25.5">
      <c r="A169" s="34"/>
      <c r="B169" s="43"/>
      <c r="C169" s="195"/>
      <c r="D169" s="199">
        <v>9202030101</v>
      </c>
      <c r="E169" s="71" t="s">
        <v>477</v>
      </c>
      <c r="F169" s="61"/>
      <c r="G169" s="62" t="s">
        <v>33</v>
      </c>
      <c r="H169" s="83">
        <v>1</v>
      </c>
    </row>
    <row r="170" spans="1:8" customFormat="1" ht="15">
      <c r="A170" s="34"/>
      <c r="B170" s="43"/>
      <c r="C170" s="195"/>
      <c r="D170" s="199"/>
      <c r="E170" s="168" t="s">
        <v>2992</v>
      </c>
      <c r="F170" s="603">
        <v>1</v>
      </c>
      <c r="G170" s="62"/>
      <c r="H170" s="64"/>
    </row>
    <row r="171" spans="1:8" customFormat="1" ht="25.5">
      <c r="A171" s="72"/>
      <c r="B171" s="73"/>
      <c r="C171" s="198"/>
      <c r="D171" s="199">
        <v>9202030102</v>
      </c>
      <c r="E171" s="71" t="s">
        <v>490</v>
      </c>
      <c r="F171" s="61"/>
      <c r="G171" s="62" t="s">
        <v>33</v>
      </c>
      <c r="H171" s="83">
        <v>106</v>
      </c>
    </row>
    <row r="172" spans="1:8" customFormat="1" ht="15">
      <c r="A172" s="34"/>
      <c r="B172" s="125"/>
      <c r="C172" s="125"/>
      <c r="D172" s="601"/>
      <c r="E172" s="168" t="s">
        <v>2914</v>
      </c>
      <c r="F172" s="603">
        <v>38</v>
      </c>
      <c r="G172" s="32"/>
      <c r="H172" s="83"/>
    </row>
    <row r="173" spans="1:8" customFormat="1" ht="15">
      <c r="A173" s="34"/>
      <c r="B173" s="125"/>
      <c r="C173" s="125"/>
      <c r="D173" s="601"/>
      <c r="E173" s="168" t="s">
        <v>2993</v>
      </c>
      <c r="F173" s="603">
        <v>28</v>
      </c>
      <c r="G173" s="32"/>
      <c r="H173" s="83"/>
    </row>
    <row r="174" spans="1:8" customFormat="1" ht="15">
      <c r="A174" s="34"/>
      <c r="B174" s="125"/>
      <c r="C174" s="125"/>
      <c r="D174" s="601"/>
      <c r="E174" s="168" t="s">
        <v>2915</v>
      </c>
      <c r="F174" s="603">
        <v>2</v>
      </c>
      <c r="G174" s="32"/>
      <c r="H174" s="83"/>
    </row>
    <row r="175" spans="1:8" customFormat="1" ht="15">
      <c r="A175" s="34"/>
      <c r="B175" s="125"/>
      <c r="C175" s="125"/>
      <c r="D175" s="601"/>
      <c r="E175" s="168" t="s">
        <v>2994</v>
      </c>
      <c r="F175" s="603">
        <v>12</v>
      </c>
      <c r="G175" s="32"/>
      <c r="H175" s="83"/>
    </row>
    <row r="176" spans="1:8" customFormat="1" ht="15">
      <c r="A176" s="34"/>
      <c r="B176" s="125"/>
      <c r="C176" s="125"/>
      <c r="D176" s="601"/>
      <c r="E176" s="168" t="s">
        <v>2995</v>
      </c>
      <c r="F176" s="705">
        <v>26</v>
      </c>
      <c r="G176" s="32"/>
      <c r="H176" s="83"/>
    </row>
    <row r="177" spans="1:8" customFormat="1" ht="15">
      <c r="A177" s="34"/>
      <c r="B177" s="125"/>
      <c r="C177" s="125"/>
      <c r="D177" s="601"/>
      <c r="E177" s="168" t="s">
        <v>1130</v>
      </c>
      <c r="F177" s="706">
        <f>SUM(F172:F176)</f>
        <v>106</v>
      </c>
      <c r="G177" s="32"/>
      <c r="H177" s="83"/>
    </row>
    <row r="178" spans="1:8" customFormat="1" ht="15">
      <c r="A178" s="34"/>
      <c r="B178" s="125"/>
      <c r="C178" s="125"/>
      <c r="D178" s="601"/>
      <c r="E178" s="168"/>
      <c r="F178" s="603"/>
      <c r="G178" s="32"/>
      <c r="H178" s="83"/>
    </row>
    <row r="179" spans="1:8" customFormat="1" ht="25.5">
      <c r="A179" s="34">
        <f>MAX(A$1:A178)+1</f>
        <v>24</v>
      </c>
      <c r="B179" s="43"/>
      <c r="C179" s="195">
        <v>92020702</v>
      </c>
      <c r="D179" s="196"/>
      <c r="E179" s="38" t="s">
        <v>718</v>
      </c>
      <c r="F179" s="39"/>
      <c r="G179" s="40" t="s">
        <v>33</v>
      </c>
      <c r="H179" s="64">
        <v>118</v>
      </c>
    </row>
    <row r="180" spans="1:8" customFormat="1" ht="25.5">
      <c r="A180" s="72"/>
      <c r="B180" s="73"/>
      <c r="C180" s="198"/>
      <c r="D180" s="199">
        <v>9202070202</v>
      </c>
      <c r="E180" s="71" t="s">
        <v>719</v>
      </c>
      <c r="F180" s="61"/>
      <c r="G180" s="62" t="s">
        <v>33</v>
      </c>
      <c r="H180" s="83">
        <v>118</v>
      </c>
    </row>
    <row r="181" spans="1:8" customFormat="1" ht="15">
      <c r="A181" s="34"/>
      <c r="B181" s="125"/>
      <c r="C181" s="125"/>
      <c r="D181" s="601"/>
      <c r="E181" s="168" t="s">
        <v>1386</v>
      </c>
      <c r="F181" s="603">
        <v>118</v>
      </c>
      <c r="G181" s="32"/>
      <c r="H181" s="83"/>
    </row>
    <row r="182" spans="1:8" customFormat="1" ht="15">
      <c r="A182" s="34"/>
      <c r="B182" s="125"/>
      <c r="C182" s="125"/>
      <c r="D182" s="601"/>
      <c r="E182" s="168"/>
      <c r="F182" s="603"/>
      <c r="G182" s="32"/>
      <c r="H182" s="83"/>
    </row>
    <row r="183" spans="1:8" customFormat="1" ht="25.5">
      <c r="A183" s="34">
        <f>MAX(A$1:A182)+1</f>
        <v>25</v>
      </c>
      <c r="B183" s="125"/>
      <c r="C183" s="195">
        <v>92022501</v>
      </c>
      <c r="D183" s="196"/>
      <c r="E183" s="38" t="s">
        <v>478</v>
      </c>
      <c r="F183" s="39"/>
      <c r="G183" s="40" t="s">
        <v>33</v>
      </c>
      <c r="H183" s="64">
        <v>113</v>
      </c>
    </row>
    <row r="184" spans="1:8" customFormat="1" ht="25.5">
      <c r="A184" s="34"/>
      <c r="B184" s="125"/>
      <c r="C184" s="195"/>
      <c r="D184" s="199">
        <v>9202250101</v>
      </c>
      <c r="E184" s="71" t="s">
        <v>758</v>
      </c>
      <c r="F184" s="61"/>
      <c r="G184" s="62" t="s">
        <v>33</v>
      </c>
      <c r="H184" s="83">
        <v>4</v>
      </c>
    </row>
    <row r="185" spans="1:8" customFormat="1" ht="15">
      <c r="A185" s="34"/>
      <c r="B185" s="125"/>
      <c r="C185" s="195"/>
      <c r="D185" s="199"/>
      <c r="E185" s="168" t="s">
        <v>2996</v>
      </c>
      <c r="F185" s="603">
        <v>1</v>
      </c>
      <c r="G185" s="62"/>
      <c r="H185" s="83"/>
    </row>
    <row r="186" spans="1:8" customFormat="1" ht="15">
      <c r="A186" s="34"/>
      <c r="B186" s="125"/>
      <c r="C186" s="195"/>
      <c r="D186" s="199"/>
      <c r="E186" s="168" t="s">
        <v>2997</v>
      </c>
      <c r="F186" s="603">
        <v>1</v>
      </c>
      <c r="G186" s="62"/>
      <c r="H186" s="83"/>
    </row>
    <row r="187" spans="1:8" customFormat="1" ht="15">
      <c r="A187" s="34"/>
      <c r="B187" s="125"/>
      <c r="C187" s="195"/>
      <c r="D187" s="199"/>
      <c r="E187" s="168" t="s">
        <v>2998</v>
      </c>
      <c r="F187" s="603">
        <v>1</v>
      </c>
      <c r="G187" s="62"/>
      <c r="H187" s="83"/>
    </row>
    <row r="188" spans="1:8" customFormat="1" ht="15">
      <c r="A188" s="34"/>
      <c r="B188" s="125"/>
      <c r="C188" s="195"/>
      <c r="D188" s="199"/>
      <c r="E188" s="168" t="s">
        <v>2999</v>
      </c>
      <c r="F188" s="705">
        <v>1</v>
      </c>
      <c r="G188" s="62"/>
      <c r="H188" s="83"/>
    </row>
    <row r="189" spans="1:8" customFormat="1" ht="15">
      <c r="A189" s="34"/>
      <c r="B189" s="125"/>
      <c r="C189" s="195"/>
      <c r="D189" s="199"/>
      <c r="E189" s="168" t="s">
        <v>1130</v>
      </c>
      <c r="F189" s="706">
        <f>SUM(F185:F188)</f>
        <v>4</v>
      </c>
      <c r="G189" s="62"/>
      <c r="H189" s="83"/>
    </row>
    <row r="190" spans="1:8" customFormat="1" ht="25.5">
      <c r="A190" s="34"/>
      <c r="B190" s="125"/>
      <c r="C190" s="195"/>
      <c r="D190" s="199">
        <v>9202250102</v>
      </c>
      <c r="E190" s="71" t="s">
        <v>479</v>
      </c>
      <c r="F190" s="61"/>
      <c r="G190" s="62" t="s">
        <v>33</v>
      </c>
      <c r="H190" s="83">
        <v>27</v>
      </c>
    </row>
    <row r="191" spans="1:8" customFormat="1" ht="15">
      <c r="A191" s="34"/>
      <c r="B191" s="125"/>
      <c r="C191" s="195"/>
      <c r="D191" s="199"/>
      <c r="E191" s="168" t="s">
        <v>1385</v>
      </c>
      <c r="F191" s="603">
        <v>13</v>
      </c>
      <c r="G191" s="62"/>
      <c r="H191" s="83"/>
    </row>
    <row r="192" spans="1:8" customFormat="1" ht="15">
      <c r="A192" s="34"/>
      <c r="B192" s="125"/>
      <c r="C192" s="195"/>
      <c r="D192" s="199"/>
      <c r="E192" s="168" t="s">
        <v>2987</v>
      </c>
      <c r="F192" s="603">
        <v>7</v>
      </c>
      <c r="G192" s="62"/>
      <c r="H192" s="83"/>
    </row>
    <row r="193" spans="1:8" customFormat="1" ht="15">
      <c r="A193" s="34"/>
      <c r="B193" s="125"/>
      <c r="C193" s="195"/>
      <c r="D193" s="199"/>
      <c r="E193" s="168" t="s">
        <v>2988</v>
      </c>
      <c r="F193" s="603">
        <v>1</v>
      </c>
      <c r="G193" s="62"/>
      <c r="H193" s="83"/>
    </row>
    <row r="194" spans="1:8" customFormat="1" ht="15">
      <c r="A194" s="34"/>
      <c r="B194" s="125"/>
      <c r="C194" s="195"/>
      <c r="D194" s="199"/>
      <c r="E194" s="168" t="s">
        <v>2989</v>
      </c>
      <c r="F194" s="705">
        <v>6</v>
      </c>
      <c r="G194" s="62"/>
      <c r="H194" s="83"/>
    </row>
    <row r="195" spans="1:8" customFormat="1" ht="15">
      <c r="A195" s="34"/>
      <c r="B195" s="125"/>
      <c r="C195" s="195"/>
      <c r="D195" s="199"/>
      <c r="E195" s="168" t="s">
        <v>1130</v>
      </c>
      <c r="F195" s="706">
        <f>SUM(F191:F194)</f>
        <v>27</v>
      </c>
      <c r="G195" s="62"/>
      <c r="H195" s="83"/>
    </row>
    <row r="196" spans="1:8" customFormat="1" ht="25.5">
      <c r="A196" s="34"/>
      <c r="B196" s="125"/>
      <c r="C196" s="125"/>
      <c r="D196" s="199">
        <v>9202250104</v>
      </c>
      <c r="E196" s="71" t="s">
        <v>722</v>
      </c>
      <c r="F196" s="61"/>
      <c r="G196" s="62" t="s">
        <v>33</v>
      </c>
      <c r="H196" s="83">
        <v>28</v>
      </c>
    </row>
    <row r="197" spans="1:8" customFormat="1" ht="15">
      <c r="A197" s="34"/>
      <c r="B197" s="125"/>
      <c r="C197" s="125"/>
      <c r="D197" s="199"/>
      <c r="E197" s="168" t="s">
        <v>3000</v>
      </c>
      <c r="F197" s="603">
        <v>28</v>
      </c>
      <c r="G197" s="62"/>
      <c r="H197" s="83"/>
    </row>
    <row r="198" spans="1:8" customFormat="1" ht="25.5">
      <c r="A198" s="34"/>
      <c r="B198" s="125"/>
      <c r="C198" s="125"/>
      <c r="D198" s="199">
        <v>9202250111</v>
      </c>
      <c r="E198" s="71" t="s">
        <v>743</v>
      </c>
      <c r="F198" s="61"/>
      <c r="G198" s="62" t="s">
        <v>33</v>
      </c>
      <c r="H198" s="83">
        <v>54</v>
      </c>
    </row>
    <row r="199" spans="1:8" customFormat="1" ht="15">
      <c r="A199" s="34"/>
      <c r="B199" s="125"/>
      <c r="C199" s="125"/>
      <c r="D199" s="199"/>
      <c r="E199" s="168" t="s">
        <v>3001</v>
      </c>
      <c r="F199" s="603">
        <v>26</v>
      </c>
      <c r="G199" s="62"/>
      <c r="H199" s="83"/>
    </row>
    <row r="200" spans="1:8" customFormat="1" ht="15">
      <c r="A200" s="34"/>
      <c r="B200" s="125"/>
      <c r="C200" s="125"/>
      <c r="D200" s="199"/>
      <c r="E200" s="168" t="s">
        <v>3002</v>
      </c>
      <c r="F200" s="603">
        <v>14</v>
      </c>
      <c r="G200" s="62"/>
      <c r="H200" s="83"/>
    </row>
    <row r="201" spans="1:8" customFormat="1" ht="15">
      <c r="A201" s="34"/>
      <c r="B201" s="125"/>
      <c r="C201" s="125"/>
      <c r="D201" s="199"/>
      <c r="E201" s="168" t="s">
        <v>3003</v>
      </c>
      <c r="F201" s="603">
        <v>2</v>
      </c>
      <c r="G201" s="62"/>
      <c r="H201" s="83"/>
    </row>
    <row r="202" spans="1:8" customFormat="1" ht="15">
      <c r="A202" s="34"/>
      <c r="B202" s="125"/>
      <c r="C202" s="125"/>
      <c r="D202" s="199"/>
      <c r="E202" s="168" t="s">
        <v>3004</v>
      </c>
      <c r="F202" s="705">
        <v>12</v>
      </c>
      <c r="G202" s="62"/>
      <c r="H202" s="83"/>
    </row>
    <row r="203" spans="1:8" customFormat="1" ht="15">
      <c r="A203" s="34"/>
      <c r="B203" s="125"/>
      <c r="C203" s="125"/>
      <c r="D203" s="601"/>
      <c r="E203" s="168" t="s">
        <v>1130</v>
      </c>
      <c r="F203" s="706">
        <f>SUM(F199:F202)</f>
        <v>54</v>
      </c>
      <c r="G203" s="32"/>
      <c r="H203" s="83"/>
    </row>
    <row r="204" spans="1:8" customFormat="1" ht="15">
      <c r="A204" s="34"/>
      <c r="B204" s="125"/>
      <c r="C204" s="125"/>
      <c r="D204" s="199"/>
      <c r="E204" s="168"/>
      <c r="F204" s="603"/>
      <c r="G204" s="62"/>
      <c r="H204" s="83"/>
    </row>
    <row r="205" spans="1:8" customFormat="1" ht="25.5">
      <c r="A205" s="34">
        <f>MAX(A$1:A204)+1</f>
        <v>26</v>
      </c>
      <c r="B205" s="43"/>
      <c r="C205" s="195">
        <v>92022705</v>
      </c>
      <c r="D205" s="196"/>
      <c r="E205" s="38" t="s">
        <v>2784</v>
      </c>
      <c r="F205" s="39"/>
      <c r="G205" s="40" t="s">
        <v>33</v>
      </c>
      <c r="H205" s="64">
        <v>18</v>
      </c>
    </row>
    <row r="206" spans="1:8" customFormat="1" ht="25.5">
      <c r="A206" s="72"/>
      <c r="B206" s="73"/>
      <c r="C206" s="198"/>
      <c r="D206" s="198">
        <v>9202270506</v>
      </c>
      <c r="E206" s="71" t="s">
        <v>2785</v>
      </c>
      <c r="F206" s="61"/>
      <c r="G206" s="62" t="s">
        <v>33</v>
      </c>
      <c r="H206" s="83">
        <v>18</v>
      </c>
    </row>
    <row r="207" spans="1:8" customFormat="1" ht="15">
      <c r="A207" s="34"/>
      <c r="B207" s="125"/>
      <c r="C207" s="125"/>
      <c r="D207" s="601"/>
      <c r="E207" s="168" t="s">
        <v>3005</v>
      </c>
      <c r="F207" s="603">
        <v>2</v>
      </c>
      <c r="G207" s="32"/>
      <c r="H207" s="83"/>
    </row>
    <row r="208" spans="1:8" customFormat="1" ht="15">
      <c r="A208" s="34"/>
      <c r="B208" s="125"/>
      <c r="C208" s="125"/>
      <c r="D208" s="601"/>
      <c r="E208" s="168" t="s">
        <v>2866</v>
      </c>
      <c r="F208" s="603">
        <v>8</v>
      </c>
      <c r="G208" s="32"/>
      <c r="H208" s="83"/>
    </row>
    <row r="209" spans="1:8" customFormat="1" ht="15">
      <c r="A209" s="34"/>
      <c r="B209" s="125"/>
      <c r="C209" s="125"/>
      <c r="D209" s="601"/>
      <c r="E209" s="168" t="s">
        <v>2787</v>
      </c>
      <c r="F209" s="705">
        <v>8</v>
      </c>
      <c r="G209" s="32"/>
      <c r="H209" s="83"/>
    </row>
    <row r="210" spans="1:8" customFormat="1" ht="15">
      <c r="A210" s="34"/>
      <c r="B210" s="125"/>
      <c r="C210" s="125"/>
      <c r="D210" s="601"/>
      <c r="E210" s="168" t="s">
        <v>1130</v>
      </c>
      <c r="F210" s="706">
        <f>SUM(F207:F209)</f>
        <v>18</v>
      </c>
      <c r="G210" s="32"/>
      <c r="H210" s="83"/>
    </row>
    <row r="211" spans="1:8" customFormat="1" ht="15">
      <c r="A211" s="34"/>
      <c r="B211" s="125"/>
      <c r="C211" s="125"/>
      <c r="D211" s="601"/>
      <c r="E211" s="193"/>
      <c r="F211" s="603"/>
      <c r="G211" s="32"/>
      <c r="H211" s="83"/>
    </row>
    <row r="212" spans="1:8" customFormat="1" ht="25.5">
      <c r="A212" s="34">
        <f>MAX(A$1:A211)+1</f>
        <v>27</v>
      </c>
      <c r="B212" s="1259"/>
      <c r="C212" s="195">
        <v>92022801</v>
      </c>
      <c r="D212" s="196"/>
      <c r="E212" s="38" t="s">
        <v>2867</v>
      </c>
      <c r="F212" s="39"/>
      <c r="G212" s="40" t="s">
        <v>36</v>
      </c>
      <c r="H212" s="64">
        <v>132</v>
      </c>
    </row>
    <row r="213" spans="1:8" customFormat="1" ht="25.5">
      <c r="A213" s="34"/>
      <c r="B213" s="1259"/>
      <c r="C213" s="195"/>
      <c r="D213" s="199">
        <v>9202280101</v>
      </c>
      <c r="E213" s="71" t="s">
        <v>3006</v>
      </c>
      <c r="F213" s="61"/>
      <c r="G213" s="62" t="s">
        <v>36</v>
      </c>
      <c r="H213" s="83">
        <v>128</v>
      </c>
    </row>
    <row r="214" spans="1:8" customFormat="1" ht="15">
      <c r="A214" s="34"/>
      <c r="B214" s="1259"/>
      <c r="C214" s="195"/>
      <c r="D214" s="196"/>
      <c r="E214" s="168" t="s">
        <v>3007</v>
      </c>
      <c r="F214" s="603">
        <v>128</v>
      </c>
      <c r="G214" s="40"/>
      <c r="H214" s="83"/>
    </row>
    <row r="215" spans="1:8" customFormat="1" ht="25.5">
      <c r="A215" s="34"/>
      <c r="B215" s="1259"/>
      <c r="C215" s="198"/>
      <c r="D215" s="199">
        <v>9202280104</v>
      </c>
      <c r="E215" s="71" t="s">
        <v>2868</v>
      </c>
      <c r="F215" s="61"/>
      <c r="G215" s="62" t="s">
        <v>33</v>
      </c>
      <c r="H215" s="83">
        <v>4</v>
      </c>
    </row>
    <row r="216" spans="1:8" customFormat="1" ht="15">
      <c r="A216" s="34"/>
      <c r="B216" s="1259"/>
      <c r="C216" s="125"/>
      <c r="D216" s="601"/>
      <c r="E216" s="168" t="s">
        <v>2870</v>
      </c>
      <c r="F216" s="603">
        <v>4</v>
      </c>
      <c r="G216" s="32"/>
      <c r="H216" s="83"/>
    </row>
    <row r="217" spans="1:8" customFormat="1" ht="15">
      <c r="A217" s="34"/>
      <c r="B217" s="1259"/>
      <c r="C217" s="125"/>
      <c r="D217" s="601"/>
      <c r="E217" s="193"/>
      <c r="F217" s="603"/>
      <c r="G217" s="32"/>
      <c r="H217" s="83"/>
    </row>
    <row r="218" spans="1:8" customFormat="1" ht="25.5">
      <c r="A218" s="34">
        <f>MAX(A$1:A217)+1</f>
        <v>28</v>
      </c>
      <c r="B218" s="1259"/>
      <c r="C218" s="195">
        <v>92050305</v>
      </c>
      <c r="D218" s="196"/>
      <c r="E218" s="38" t="s">
        <v>3008</v>
      </c>
      <c r="F218" s="39"/>
      <c r="G218" s="40" t="s">
        <v>33</v>
      </c>
      <c r="H218" s="64">
        <v>14</v>
      </c>
    </row>
    <row r="219" spans="1:8" customFormat="1" ht="25.5">
      <c r="A219" s="34"/>
      <c r="B219" s="1259"/>
      <c r="C219" s="195"/>
      <c r="D219" s="199">
        <v>9205030501</v>
      </c>
      <c r="E219" s="71" t="s">
        <v>3009</v>
      </c>
      <c r="F219" s="61"/>
      <c r="G219" s="62" t="s">
        <v>33</v>
      </c>
      <c r="H219" s="83">
        <v>8</v>
      </c>
    </row>
    <row r="220" spans="1:8" customFormat="1" ht="15">
      <c r="A220" s="34"/>
      <c r="B220" s="1259"/>
      <c r="C220" s="195"/>
      <c r="D220" s="196"/>
      <c r="E220" s="168" t="s">
        <v>3010</v>
      </c>
      <c r="F220" s="603">
        <v>8</v>
      </c>
      <c r="G220" s="40"/>
      <c r="H220" s="64"/>
    </row>
    <row r="221" spans="1:8" customFormat="1" ht="25.5">
      <c r="A221" s="34"/>
      <c r="B221" s="1259"/>
      <c r="C221" s="125"/>
      <c r="D221" s="198">
        <v>9205030508</v>
      </c>
      <c r="E221" s="71" t="s">
        <v>3011</v>
      </c>
      <c r="F221" s="61"/>
      <c r="G221" s="62" t="s">
        <v>33</v>
      </c>
      <c r="H221" s="83">
        <v>6</v>
      </c>
    </row>
    <row r="222" spans="1:8" customFormat="1" ht="15">
      <c r="A222" s="34"/>
      <c r="B222" s="1259"/>
      <c r="C222" s="125"/>
      <c r="D222" s="601"/>
      <c r="E222" s="168" t="s">
        <v>3012</v>
      </c>
      <c r="F222" s="603">
        <v>6</v>
      </c>
      <c r="G222" s="32"/>
      <c r="H222" s="83"/>
    </row>
    <row r="223" spans="1:8" customFormat="1" ht="15">
      <c r="A223" s="34"/>
      <c r="B223" s="1259"/>
      <c r="C223" s="125"/>
      <c r="D223" s="601"/>
      <c r="E223" s="193"/>
      <c r="F223" s="603"/>
      <c r="G223" s="32"/>
      <c r="H223" s="83"/>
    </row>
    <row r="224" spans="1:8" customFormat="1" ht="25.5">
      <c r="A224" s="34">
        <f>MAX(A$1:A223)+1</f>
        <v>29</v>
      </c>
      <c r="B224" s="1259"/>
      <c r="C224" s="36" t="s">
        <v>2920</v>
      </c>
      <c r="D224" s="37"/>
      <c r="E224" s="38" t="s">
        <v>2921</v>
      </c>
      <c r="F224" s="39"/>
      <c r="G224" s="40" t="s">
        <v>33</v>
      </c>
      <c r="H224" s="64">
        <v>21</v>
      </c>
    </row>
    <row r="225" spans="1:8" customFormat="1" ht="25.5">
      <c r="A225" s="34"/>
      <c r="B225" s="1259"/>
      <c r="C225" s="66"/>
      <c r="D225" s="67" t="s">
        <v>2922</v>
      </c>
      <c r="E225" s="71" t="s">
        <v>2923</v>
      </c>
      <c r="F225" s="61"/>
      <c r="G225" s="62" t="s">
        <v>33</v>
      </c>
      <c r="H225" s="1260">
        <v>20</v>
      </c>
    </row>
    <row r="226" spans="1:8" customFormat="1" ht="15">
      <c r="A226" s="34"/>
      <c r="B226" s="1259"/>
      <c r="C226" s="125"/>
      <c r="D226" s="1261"/>
      <c r="E226" s="168" t="s">
        <v>3013</v>
      </c>
      <c r="F226" s="603">
        <v>4</v>
      </c>
      <c r="G226" s="32"/>
      <c r="H226" s="1260"/>
    </row>
    <row r="227" spans="1:8" customFormat="1" ht="15">
      <c r="A227" s="34"/>
      <c r="B227" s="1259"/>
      <c r="C227" s="125"/>
      <c r="D227" s="1261"/>
      <c r="E227" s="168" t="s">
        <v>3014</v>
      </c>
      <c r="F227" s="603">
        <v>8</v>
      </c>
      <c r="G227" s="32"/>
      <c r="H227" s="1260"/>
    </row>
    <row r="228" spans="1:8" customFormat="1" ht="15">
      <c r="A228" s="34"/>
      <c r="B228" s="1259"/>
      <c r="C228" s="125"/>
      <c r="D228" s="1261"/>
      <c r="E228" s="168" t="s">
        <v>3015</v>
      </c>
      <c r="F228" s="603">
        <v>4</v>
      </c>
      <c r="G228" s="32"/>
      <c r="H228" s="1260"/>
    </row>
    <row r="229" spans="1:8" customFormat="1" ht="25.5">
      <c r="A229" s="34"/>
      <c r="B229" s="1259"/>
      <c r="C229" s="125"/>
      <c r="D229" s="1261"/>
      <c r="E229" s="168" t="s">
        <v>3016</v>
      </c>
      <c r="F229" s="603">
        <v>3</v>
      </c>
      <c r="G229" s="32"/>
      <c r="H229" s="1260"/>
    </row>
    <row r="230" spans="1:8" customFormat="1" ht="15">
      <c r="A230" s="34"/>
      <c r="B230" s="1259"/>
      <c r="C230" s="125"/>
      <c r="D230" s="1261"/>
      <c r="E230" s="168" t="s">
        <v>3017</v>
      </c>
      <c r="F230" s="705">
        <v>1</v>
      </c>
      <c r="G230" s="32"/>
      <c r="H230" s="1260"/>
    </row>
    <row r="231" spans="1:8" customFormat="1" ht="15">
      <c r="A231" s="34"/>
      <c r="B231" s="1259"/>
      <c r="C231" s="125"/>
      <c r="D231" s="1261"/>
      <c r="E231" s="168" t="s">
        <v>1130</v>
      </c>
      <c r="F231" s="706">
        <f>SUM(F226:F230)</f>
        <v>20</v>
      </c>
      <c r="G231" s="32"/>
      <c r="H231" s="1260"/>
    </row>
    <row r="232" spans="1:8" customFormat="1" ht="25.5">
      <c r="A232" s="34"/>
      <c r="B232" s="1259"/>
      <c r="C232" s="125"/>
      <c r="D232" s="67" t="s">
        <v>3018</v>
      </c>
      <c r="E232" s="71" t="s">
        <v>3019</v>
      </c>
      <c r="F232" s="61"/>
      <c r="G232" s="62" t="s">
        <v>33</v>
      </c>
      <c r="H232" s="1260">
        <v>1</v>
      </c>
    </row>
    <row r="233" spans="1:8" customFormat="1" ht="15">
      <c r="A233" s="34"/>
      <c r="B233" s="1259"/>
      <c r="C233" s="125"/>
      <c r="D233" s="1261"/>
      <c r="E233" s="168" t="s">
        <v>3020</v>
      </c>
      <c r="F233" s="603">
        <v>1</v>
      </c>
      <c r="G233" s="32"/>
      <c r="H233" s="1260"/>
    </row>
    <row r="234" spans="1:8" customFormat="1" ht="15">
      <c r="A234" s="34"/>
      <c r="B234" s="1259"/>
      <c r="C234" s="125"/>
      <c r="D234" s="1261"/>
      <c r="E234" s="168"/>
      <c r="F234" s="603"/>
      <c r="G234" s="32"/>
      <c r="H234" s="1260"/>
    </row>
    <row r="235" spans="1:8" customFormat="1" ht="25.5">
      <c r="A235" s="34">
        <f>MAX(A$1:A234)+1</f>
        <v>30</v>
      </c>
      <c r="B235" s="1259"/>
      <c r="C235" s="36" t="s">
        <v>2928</v>
      </c>
      <c r="D235" s="37"/>
      <c r="E235" s="38" t="s">
        <v>2929</v>
      </c>
      <c r="F235" s="39"/>
      <c r="G235" s="40" t="s">
        <v>33</v>
      </c>
      <c r="H235" s="64">
        <v>14</v>
      </c>
    </row>
    <row r="236" spans="1:8" customFormat="1" ht="38.25">
      <c r="A236" s="34"/>
      <c r="B236" s="1259"/>
      <c r="C236" s="125"/>
      <c r="D236" s="67" t="s">
        <v>2930</v>
      </c>
      <c r="E236" s="71" t="s">
        <v>2931</v>
      </c>
      <c r="F236" s="61"/>
      <c r="G236" s="62" t="s">
        <v>33</v>
      </c>
      <c r="H236" s="1260">
        <v>14</v>
      </c>
    </row>
    <row r="237" spans="1:8" customFormat="1" ht="15">
      <c r="A237" s="34"/>
      <c r="B237" s="1259"/>
      <c r="C237" s="125"/>
      <c r="D237" s="1261"/>
      <c r="E237" s="168" t="s">
        <v>2932</v>
      </c>
      <c r="F237" s="603">
        <v>13</v>
      </c>
      <c r="G237" s="32"/>
      <c r="H237" s="1260"/>
    </row>
    <row r="238" spans="1:8" customFormat="1" ht="15">
      <c r="A238" s="34"/>
      <c r="B238" s="1259"/>
      <c r="C238" s="125"/>
      <c r="D238" s="1261"/>
      <c r="E238" s="168" t="s">
        <v>2933</v>
      </c>
      <c r="F238" s="705">
        <v>1</v>
      </c>
      <c r="G238" s="32"/>
      <c r="H238" s="1260"/>
    </row>
    <row r="239" spans="1:8" customFormat="1" ht="15">
      <c r="A239" s="34"/>
      <c r="B239" s="1259"/>
      <c r="C239" s="125"/>
      <c r="D239" s="1261"/>
      <c r="E239" s="168" t="s">
        <v>1130</v>
      </c>
      <c r="F239" s="706">
        <f>SUM(F237:F238)</f>
        <v>14</v>
      </c>
      <c r="G239" s="32"/>
      <c r="H239" s="1260"/>
    </row>
    <row r="240" spans="1:8" customFormat="1" ht="15">
      <c r="A240" s="34"/>
      <c r="B240" s="125"/>
      <c r="C240" s="125"/>
      <c r="D240" s="601"/>
      <c r="E240" s="1247"/>
      <c r="F240" s="603"/>
      <c r="G240" s="32"/>
      <c r="H240" s="83"/>
    </row>
    <row r="241" spans="1:8" customFormat="1" ht="15">
      <c r="A241" s="34"/>
      <c r="B241" s="125"/>
      <c r="C241" s="125"/>
      <c r="D241" s="601"/>
      <c r="E241" s="1247"/>
      <c r="F241" s="603"/>
      <c r="G241" s="32"/>
      <c r="H241" s="83"/>
    </row>
    <row r="242" spans="1:8" customFormat="1" ht="15.75" thickBot="1">
      <c r="A242" s="459"/>
      <c r="B242" s="460"/>
      <c r="C242" s="391"/>
      <c r="D242" s="461"/>
      <c r="E242" s="462"/>
      <c r="F242" s="524"/>
      <c r="G242" s="525"/>
      <c r="H242" s="574"/>
    </row>
    <row r="243" spans="1:8" customFormat="1" ht="24.75" customHeight="1">
      <c r="A243" s="526"/>
      <c r="B243" s="527"/>
      <c r="C243" s="344"/>
      <c r="D243" s="519"/>
      <c r="E243" s="129"/>
      <c r="F243" s="131"/>
      <c r="G243" s="326"/>
      <c r="H243" s="528"/>
    </row>
  </sheetData>
  <sheetProtection algorithmName="SHA-512" hashValue="/QYlM5+wg53mvx6M3gjl6dAZTYbgNAnrOfUepPlkd+sKs3oapEKy0fuGMTDuS42i/eBilwl6TrmCgox9hfhXRQ==" saltValue="EbWpMZBVam4NcfWpYmb3x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0589-6C14-4377-A6BB-FB4212569FAA}">
  <sheetPr codeName="Hárok46"/>
  <dimension ref="A1:J237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3022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15.15</v>
      </c>
    </row>
    <row r="9" spans="1:8">
      <c r="A9" s="47"/>
      <c r="B9" s="24"/>
      <c r="C9" s="25"/>
      <c r="D9" s="26"/>
      <c r="E9" s="27"/>
      <c r="F9" s="144">
        <f>F86</f>
        <v>15.152495999999999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1169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1009</v>
      </c>
    </row>
    <row r="25" spans="1:8" customFormat="1" ht="15">
      <c r="A25" s="145"/>
      <c r="B25" s="43"/>
      <c r="C25" s="36"/>
      <c r="D25" s="67"/>
      <c r="E25" s="168" t="s">
        <v>2936</v>
      </c>
      <c r="F25" s="603">
        <v>444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2937</v>
      </c>
      <c r="F26" s="603">
        <v>95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2938</v>
      </c>
      <c r="F27" s="603">
        <v>213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2939</v>
      </c>
      <c r="F28" s="603">
        <v>107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2940</v>
      </c>
      <c r="F29" s="603">
        <v>63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2941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2895</v>
      </c>
      <c r="F31" s="603">
        <v>70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2942</v>
      </c>
      <c r="F32" s="705">
        <v>9</v>
      </c>
      <c r="G32" s="130"/>
      <c r="H32" s="64"/>
    </row>
    <row r="33" spans="1:8" customFormat="1" ht="15">
      <c r="A33" s="145"/>
      <c r="B33" s="43"/>
      <c r="C33" s="36"/>
      <c r="D33" s="37"/>
      <c r="E33" s="168" t="s">
        <v>1130</v>
      </c>
      <c r="F33" s="706">
        <f>SUM(F25:F32)</f>
        <v>1009</v>
      </c>
      <c r="G33" s="130"/>
      <c r="H33" s="64"/>
    </row>
    <row r="34" spans="1:8" customFormat="1" ht="38.25">
      <c r="A34" s="145"/>
      <c r="B34" s="73"/>
      <c r="C34" s="66"/>
      <c r="D34" s="67" t="s">
        <v>491</v>
      </c>
      <c r="E34" s="71" t="s">
        <v>492</v>
      </c>
      <c r="F34" s="61"/>
      <c r="G34" s="62" t="s">
        <v>33</v>
      </c>
      <c r="H34" s="83">
        <v>160</v>
      </c>
    </row>
    <row r="35" spans="1:8" customFormat="1" ht="15">
      <c r="A35" s="145"/>
      <c r="B35" s="73"/>
      <c r="C35" s="66"/>
      <c r="D35" s="67"/>
      <c r="E35" s="168" t="s">
        <v>2943</v>
      </c>
      <c r="F35" s="603">
        <v>4</v>
      </c>
      <c r="G35" s="62"/>
      <c r="H35" s="83"/>
    </row>
    <row r="36" spans="1:8" customFormat="1" ht="15">
      <c r="A36" s="145"/>
      <c r="B36" s="125"/>
      <c r="C36" s="125"/>
      <c r="D36" s="601"/>
      <c r="E36" s="168" t="s">
        <v>2896</v>
      </c>
      <c r="F36" s="603">
        <v>5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2944</v>
      </c>
      <c r="F37" s="603">
        <v>1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1131</v>
      </c>
      <c r="F38" s="603">
        <v>18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2898</v>
      </c>
      <c r="F39" s="603">
        <v>35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2945</v>
      </c>
      <c r="F40" s="603">
        <v>12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2946</v>
      </c>
      <c r="F41" s="603">
        <v>1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2899</v>
      </c>
      <c r="F42" s="603">
        <v>42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2947</v>
      </c>
      <c r="F43" s="603">
        <v>2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2948</v>
      </c>
      <c r="F44" s="603">
        <v>22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2900</v>
      </c>
      <c r="F45" s="603">
        <v>4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2949</v>
      </c>
      <c r="F46" s="603">
        <v>10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2950</v>
      </c>
      <c r="F47" s="603">
        <v>3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2951</v>
      </c>
      <c r="F48" s="705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1130</v>
      </c>
      <c r="F49" s="706">
        <f>SUM(F35:F48)</f>
        <v>160</v>
      </c>
      <c r="G49" s="32"/>
      <c r="H49" s="83"/>
    </row>
    <row r="50" spans="1:8" customFormat="1" ht="15">
      <c r="A50" s="145"/>
      <c r="B50" s="125"/>
      <c r="C50" s="125"/>
      <c r="D50" s="601"/>
      <c r="E50" s="168"/>
      <c r="F50" s="603"/>
      <c r="G50" s="32"/>
      <c r="H50" s="83"/>
    </row>
    <row r="51" spans="1:8" customFormat="1" ht="25.5">
      <c r="A51" s="34">
        <f>MAX(A$1:A50)+1</f>
        <v>6</v>
      </c>
      <c r="B51" s="125"/>
      <c r="C51" s="36" t="s">
        <v>115</v>
      </c>
      <c r="D51" s="37"/>
      <c r="E51" s="38" t="s">
        <v>116</v>
      </c>
      <c r="F51" s="39"/>
      <c r="G51" s="40" t="s">
        <v>33</v>
      </c>
      <c r="H51" s="64">
        <v>28</v>
      </c>
    </row>
    <row r="52" spans="1:8" customFormat="1" ht="25.5">
      <c r="A52" s="145"/>
      <c r="B52" s="125"/>
      <c r="C52" s="125"/>
      <c r="D52" s="67" t="s">
        <v>2901</v>
      </c>
      <c r="E52" s="71" t="s">
        <v>2902</v>
      </c>
      <c r="F52" s="61"/>
      <c r="G52" s="62" t="s">
        <v>33</v>
      </c>
      <c r="H52" s="83">
        <v>28</v>
      </c>
    </row>
    <row r="53" spans="1:8" customFormat="1" ht="15">
      <c r="A53" s="145"/>
      <c r="B53" s="125"/>
      <c r="C53" s="125"/>
      <c r="D53" s="67"/>
      <c r="E53" s="168" t="s">
        <v>2952</v>
      </c>
      <c r="F53" s="603">
        <v>1</v>
      </c>
      <c r="G53" s="62"/>
      <c r="H53" s="83"/>
    </row>
    <row r="54" spans="1:8" customFormat="1" ht="15">
      <c r="A54" s="145"/>
      <c r="B54" s="125"/>
      <c r="C54" s="125"/>
      <c r="D54" s="67"/>
      <c r="E54" s="168" t="s">
        <v>2953</v>
      </c>
      <c r="F54" s="603">
        <v>3</v>
      </c>
      <c r="G54" s="62"/>
      <c r="H54" s="83"/>
    </row>
    <row r="55" spans="1:8" customFormat="1" ht="15">
      <c r="A55" s="145"/>
      <c r="B55" s="125"/>
      <c r="C55" s="125"/>
      <c r="D55" s="601"/>
      <c r="E55" s="168" t="s">
        <v>2903</v>
      </c>
      <c r="F55" s="603">
        <v>2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2904</v>
      </c>
      <c r="F56" s="603">
        <v>2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2954</v>
      </c>
      <c r="F57" s="603">
        <v>6</v>
      </c>
      <c r="G57" s="32"/>
      <c r="H57" s="83"/>
    </row>
    <row r="58" spans="1:8" customFormat="1" ht="15">
      <c r="A58" s="145"/>
      <c r="B58" s="125"/>
      <c r="C58" s="125"/>
      <c r="D58" s="601"/>
      <c r="E58" s="168" t="s">
        <v>2906</v>
      </c>
      <c r="F58" s="603">
        <v>6</v>
      </c>
      <c r="G58" s="32"/>
      <c r="H58" s="83"/>
    </row>
    <row r="59" spans="1:8" customFormat="1" ht="15">
      <c r="A59" s="145"/>
      <c r="B59" s="125"/>
      <c r="C59" s="125"/>
      <c r="D59" s="601"/>
      <c r="E59" s="168" t="s">
        <v>2907</v>
      </c>
      <c r="F59" s="603">
        <v>2</v>
      </c>
      <c r="G59" s="32"/>
      <c r="H59" s="83"/>
    </row>
    <row r="60" spans="1:8" customFormat="1" ht="15">
      <c r="A60" s="145"/>
      <c r="B60" s="125"/>
      <c r="C60" s="125"/>
      <c r="D60" s="601"/>
      <c r="E60" s="168" t="s">
        <v>2956</v>
      </c>
      <c r="F60" s="705">
        <v>6</v>
      </c>
      <c r="G60" s="32"/>
      <c r="H60" s="83"/>
    </row>
    <row r="61" spans="1:8" customFormat="1" ht="15">
      <c r="A61" s="145"/>
      <c r="B61" s="125"/>
      <c r="C61" s="125"/>
      <c r="D61" s="601"/>
      <c r="E61" s="168" t="s">
        <v>1130</v>
      </c>
      <c r="F61" s="706">
        <f>SUM(F53:F60)</f>
        <v>28</v>
      </c>
      <c r="G61" s="32"/>
      <c r="H61" s="83"/>
    </row>
    <row r="62" spans="1:8" customFormat="1" ht="15">
      <c r="A62" s="145"/>
      <c r="B62" s="125"/>
      <c r="C62" s="125"/>
      <c r="D62" s="601"/>
      <c r="E62" s="168"/>
      <c r="F62" s="603"/>
      <c r="G62" s="32"/>
      <c r="H62" s="83"/>
    </row>
    <row r="63" spans="1:8" customFormat="1" ht="15">
      <c r="A63" s="34">
        <f>MAX(A$1:A62)+1</f>
        <v>7</v>
      </c>
      <c r="B63" s="125"/>
      <c r="C63" s="36" t="s">
        <v>37</v>
      </c>
      <c r="D63" s="37"/>
      <c r="E63" s="38" t="s">
        <v>38</v>
      </c>
      <c r="F63" s="39"/>
      <c r="G63" s="40" t="s">
        <v>15</v>
      </c>
      <c r="H63" s="64">
        <v>1.01</v>
      </c>
    </row>
    <row r="64" spans="1:8" customFormat="1" ht="15">
      <c r="A64" s="145"/>
      <c r="B64" s="125"/>
      <c r="C64" s="31"/>
      <c r="D64" s="67" t="s">
        <v>39</v>
      </c>
      <c r="E64" s="71" t="s">
        <v>40</v>
      </c>
      <c r="F64" s="61"/>
      <c r="G64" s="62" t="s">
        <v>15</v>
      </c>
      <c r="H64" s="83">
        <v>1.01</v>
      </c>
    </row>
    <row r="65" spans="1:8" customFormat="1" ht="15">
      <c r="A65" s="145"/>
      <c r="B65" s="125"/>
      <c r="C65" s="31"/>
      <c r="D65" s="32"/>
      <c r="E65" s="168" t="s">
        <v>2736</v>
      </c>
      <c r="F65" s="170">
        <v>1.01</v>
      </c>
      <c r="G65" s="29"/>
      <c r="H65" s="30"/>
    </row>
    <row r="66" spans="1:8" customFormat="1" ht="15">
      <c r="A66" s="145"/>
      <c r="B66" s="125"/>
      <c r="C66" s="125"/>
      <c r="D66" s="601"/>
      <c r="E66" s="193"/>
      <c r="F66" s="603"/>
      <c r="G66" s="32"/>
      <c r="H66" s="83"/>
    </row>
    <row r="67" spans="1:8" customFormat="1" ht="15">
      <c r="A67" s="145"/>
      <c r="B67" s="35" t="s">
        <v>72</v>
      </c>
      <c r="C67" s="93"/>
      <c r="D67" s="94"/>
      <c r="E67" s="50" t="s">
        <v>73</v>
      </c>
      <c r="F67" s="100"/>
      <c r="G67" s="101"/>
      <c r="H67" s="83"/>
    </row>
    <row r="68" spans="1:8" customFormat="1" ht="15">
      <c r="A68" s="145"/>
      <c r="B68" s="125"/>
      <c r="C68" s="125"/>
      <c r="D68" s="601"/>
      <c r="E68" s="168"/>
      <c r="F68" s="603"/>
      <c r="G68" s="32"/>
      <c r="H68" s="83"/>
    </row>
    <row r="69" spans="1:8" customFormat="1" ht="15">
      <c r="A69" s="34">
        <f>MAX(A$1:A68)+1</f>
        <v>8</v>
      </c>
      <c r="B69" s="125"/>
      <c r="C69" s="36" t="s">
        <v>74</v>
      </c>
      <c r="D69" s="37"/>
      <c r="E69" s="38" t="s">
        <v>75</v>
      </c>
      <c r="F69" s="39"/>
      <c r="G69" s="40" t="s">
        <v>18</v>
      </c>
      <c r="H69" s="64">
        <v>14.11</v>
      </c>
    </row>
    <row r="70" spans="1:8" customFormat="1" ht="15">
      <c r="A70" s="145"/>
      <c r="B70" s="125"/>
      <c r="C70" s="125"/>
      <c r="D70" s="67" t="s">
        <v>76</v>
      </c>
      <c r="E70" s="71" t="s">
        <v>77</v>
      </c>
      <c r="F70" s="61"/>
      <c r="G70" s="62" t="s">
        <v>18</v>
      </c>
      <c r="H70" s="83">
        <v>14.11</v>
      </c>
    </row>
    <row r="71" spans="1:8" customFormat="1" ht="15">
      <c r="A71" s="145"/>
      <c r="B71" s="125"/>
      <c r="C71" s="125"/>
      <c r="D71" s="601"/>
      <c r="E71" s="168" t="s">
        <v>2958</v>
      </c>
      <c r="F71" s="603">
        <f>1.2*2</f>
        <v>2.4</v>
      </c>
      <c r="G71" s="32"/>
      <c r="H71" s="83"/>
    </row>
    <row r="72" spans="1:8" customFormat="1" ht="15">
      <c r="A72" s="145"/>
      <c r="B72" s="125"/>
      <c r="C72" s="125"/>
      <c r="D72" s="601"/>
      <c r="E72" s="168" t="s">
        <v>2959</v>
      </c>
      <c r="F72" s="603">
        <f>(1.5*1.5*1.5)*3</f>
        <v>10.125</v>
      </c>
      <c r="G72" s="32"/>
      <c r="H72" s="83"/>
    </row>
    <row r="73" spans="1:8" customFormat="1" ht="15">
      <c r="A73" s="145"/>
      <c r="B73" s="125"/>
      <c r="C73" s="125"/>
      <c r="D73" s="601"/>
      <c r="E73" s="168" t="s">
        <v>3023</v>
      </c>
      <c r="F73" s="603">
        <f>(0.8*0.7*0.7)*3</f>
        <v>1.1759999999999999</v>
      </c>
      <c r="G73" s="32"/>
      <c r="H73" s="83"/>
    </row>
    <row r="74" spans="1:8" customFormat="1" ht="15">
      <c r="A74" s="145"/>
      <c r="B74" s="125"/>
      <c r="C74" s="125"/>
      <c r="D74" s="601"/>
      <c r="E74" s="168" t="s">
        <v>2961</v>
      </c>
      <c r="F74" s="705">
        <f>1.5*0.55*0.5</f>
        <v>0.41250000000000003</v>
      </c>
      <c r="G74" s="32"/>
      <c r="H74" s="83"/>
    </row>
    <row r="75" spans="1:8" customFormat="1" ht="15">
      <c r="A75" s="145"/>
      <c r="B75" s="125"/>
      <c r="C75" s="125"/>
      <c r="D75" s="601"/>
      <c r="E75" s="168" t="s">
        <v>2766</v>
      </c>
      <c r="F75" s="170">
        <f>SUM(F71:F74)</f>
        <v>14.1135</v>
      </c>
      <c r="G75" s="32"/>
      <c r="H75" s="83"/>
    </row>
    <row r="76" spans="1:8" customFormat="1" ht="15">
      <c r="A76" s="145"/>
      <c r="B76" s="125"/>
      <c r="C76" s="125"/>
      <c r="D76" s="601"/>
      <c r="E76" s="168"/>
      <c r="F76" s="603"/>
      <c r="G76" s="32"/>
      <c r="H76" s="83"/>
    </row>
    <row r="77" spans="1:8" customFormat="1" ht="15">
      <c r="A77" s="34">
        <f>MAX(A$1:A76)+1</f>
        <v>9</v>
      </c>
      <c r="B77" s="31"/>
      <c r="C77" s="36" t="s">
        <v>158</v>
      </c>
      <c r="D77" s="37"/>
      <c r="E77" s="38" t="s">
        <v>159</v>
      </c>
      <c r="F77" s="39"/>
      <c r="G77" s="40" t="s">
        <v>18</v>
      </c>
      <c r="H77" s="64">
        <v>11.26</v>
      </c>
    </row>
    <row r="78" spans="1:8" customFormat="1" ht="15">
      <c r="A78" s="145"/>
      <c r="B78" s="31"/>
      <c r="C78" s="31"/>
      <c r="D78" s="67" t="s">
        <v>160</v>
      </c>
      <c r="E78" s="71" t="s">
        <v>161</v>
      </c>
      <c r="F78" s="61"/>
      <c r="G78" s="62" t="s">
        <v>18</v>
      </c>
      <c r="H78" s="83">
        <v>11.26</v>
      </c>
    </row>
    <row r="79" spans="1:8" customFormat="1" ht="15">
      <c r="A79" s="145"/>
      <c r="B79" s="31"/>
      <c r="C79" s="31"/>
      <c r="D79" s="67"/>
      <c r="E79" s="168" t="s">
        <v>3024</v>
      </c>
      <c r="F79" s="170">
        <f>50*0.35*0.19</f>
        <v>3.3250000000000002</v>
      </c>
      <c r="G79" s="62"/>
      <c r="H79" s="83"/>
    </row>
    <row r="80" spans="1:8" customFormat="1" ht="15">
      <c r="A80" s="145"/>
      <c r="B80" s="31"/>
      <c r="C80" s="31"/>
      <c r="D80" s="67"/>
      <c r="E80" s="168" t="s">
        <v>2963</v>
      </c>
      <c r="F80" s="170">
        <f>7*0.35*0.65</f>
        <v>1.5924999999999998</v>
      </c>
      <c r="G80" s="62"/>
      <c r="H80" s="83"/>
    </row>
    <row r="81" spans="1:8" customFormat="1" ht="15">
      <c r="A81" s="145"/>
      <c r="B81" s="31"/>
      <c r="C81" s="31"/>
      <c r="D81" s="32"/>
      <c r="E81" s="168" t="s">
        <v>3025</v>
      </c>
      <c r="F81" s="180">
        <f>15*0.65*0.65</f>
        <v>6.3375000000000004</v>
      </c>
      <c r="G81" s="29"/>
      <c r="H81" s="83"/>
    </row>
    <row r="82" spans="1:8" customFormat="1" ht="15">
      <c r="A82" s="145"/>
      <c r="B82" s="31"/>
      <c r="C82" s="31"/>
      <c r="D82" s="32"/>
      <c r="E82" s="168" t="s">
        <v>1130</v>
      </c>
      <c r="F82" s="706">
        <f>SUM(F79:F81)</f>
        <v>11.255000000000001</v>
      </c>
      <c r="G82" s="29"/>
      <c r="H82" s="83"/>
    </row>
    <row r="83" spans="1:8" customFormat="1" ht="15">
      <c r="A83" s="145"/>
      <c r="B83" s="125"/>
      <c r="C83" s="125"/>
      <c r="D83" s="601"/>
      <c r="E83" s="168"/>
      <c r="F83" s="603"/>
      <c r="G83" s="32"/>
      <c r="H83" s="83"/>
    </row>
    <row r="84" spans="1:8" customFormat="1" ht="15">
      <c r="A84" s="34">
        <f>MAX(A$1:A83)+1</f>
        <v>10</v>
      </c>
      <c r="B84" s="31"/>
      <c r="C84" s="36" t="s">
        <v>58</v>
      </c>
      <c r="D84" s="248"/>
      <c r="E84" s="38" t="s">
        <v>59</v>
      </c>
      <c r="F84" s="78"/>
      <c r="G84" s="40" t="s">
        <v>18</v>
      </c>
      <c r="H84" s="64">
        <v>15.15</v>
      </c>
    </row>
    <row r="85" spans="1:8" customFormat="1" ht="15">
      <c r="A85" s="145"/>
      <c r="B85" s="31"/>
      <c r="C85" s="66"/>
      <c r="D85" s="242" t="s">
        <v>60</v>
      </c>
      <c r="E85" s="71" t="s">
        <v>61</v>
      </c>
      <c r="F85" s="28"/>
      <c r="G85" s="62" t="s">
        <v>18</v>
      </c>
      <c r="H85" s="83">
        <v>15.15</v>
      </c>
    </row>
    <row r="86" spans="1:8" customFormat="1" ht="15">
      <c r="A86" s="145"/>
      <c r="B86" s="31"/>
      <c r="C86" s="66"/>
      <c r="D86" s="242"/>
      <c r="E86" s="157" t="s">
        <v>2741</v>
      </c>
      <c r="F86" s="144">
        <f>F102</f>
        <v>15.152495999999999</v>
      </c>
      <c r="G86" s="62"/>
      <c r="H86" s="83"/>
    </row>
    <row r="87" spans="1:8" customFormat="1" ht="15">
      <c r="A87" s="145"/>
      <c r="B87" s="31"/>
      <c r="C87" s="66"/>
      <c r="D87" s="242"/>
      <c r="E87" s="157"/>
      <c r="F87" s="144"/>
      <c r="G87" s="62"/>
      <c r="H87" s="83"/>
    </row>
    <row r="88" spans="1:8" customFormat="1" ht="15">
      <c r="A88" s="34">
        <f>MAX(A$1:A87)+1</f>
        <v>11</v>
      </c>
      <c r="B88" s="31"/>
      <c r="C88" s="36" t="s">
        <v>78</v>
      </c>
      <c r="D88" s="37"/>
      <c r="E88" s="38" t="s">
        <v>79</v>
      </c>
      <c r="F88" s="39"/>
      <c r="G88" s="40" t="s">
        <v>18</v>
      </c>
      <c r="H88" s="64">
        <v>8.74</v>
      </c>
    </row>
    <row r="89" spans="1:8" customFormat="1" ht="15">
      <c r="A89" s="145"/>
      <c r="B89" s="31"/>
      <c r="C89" s="31"/>
      <c r="D89" s="67" t="s">
        <v>80</v>
      </c>
      <c r="E89" s="71" t="s">
        <v>81</v>
      </c>
      <c r="F89" s="61"/>
      <c r="G89" s="62" t="s">
        <v>18</v>
      </c>
      <c r="H89" s="83">
        <v>8.74</v>
      </c>
    </row>
    <row r="90" spans="1:8" customFormat="1" ht="15">
      <c r="A90" s="145"/>
      <c r="B90" s="31"/>
      <c r="C90" s="31"/>
      <c r="D90" s="67"/>
      <c r="E90" s="168" t="s">
        <v>2958</v>
      </c>
      <c r="F90" s="603">
        <f>1.2*2</f>
        <v>2.4</v>
      </c>
      <c r="G90" s="62"/>
      <c r="H90" s="83"/>
    </row>
    <row r="91" spans="1:8" customFormat="1" ht="15">
      <c r="A91" s="145"/>
      <c r="B91" s="31"/>
      <c r="C91" s="31"/>
      <c r="D91" s="32"/>
      <c r="E91" s="168" t="s">
        <v>3026</v>
      </c>
      <c r="F91" s="170">
        <f>50*0.35*0.09</f>
        <v>1.575</v>
      </c>
      <c r="G91" s="29"/>
      <c r="H91" s="83"/>
    </row>
    <row r="92" spans="1:8" customFormat="1" ht="15">
      <c r="A92" s="145"/>
      <c r="B92" s="31"/>
      <c r="C92" s="31"/>
      <c r="D92" s="32"/>
      <c r="E92" s="168" t="s">
        <v>2966</v>
      </c>
      <c r="F92" s="170">
        <f>7*0.35*0.55</f>
        <v>1.3474999999999999</v>
      </c>
      <c r="G92" s="29"/>
      <c r="H92" s="83"/>
    </row>
    <row r="93" spans="1:8" customFormat="1" ht="15">
      <c r="A93" s="145"/>
      <c r="B93" s="31"/>
      <c r="C93" s="31"/>
      <c r="D93" s="32"/>
      <c r="E93" s="168" t="s">
        <v>3027</v>
      </c>
      <c r="F93" s="180">
        <f>15*0.65*0.35</f>
        <v>3.4124999999999996</v>
      </c>
      <c r="G93" s="29"/>
      <c r="H93" s="83"/>
    </row>
    <row r="94" spans="1:8" customFormat="1" ht="15">
      <c r="A94" s="145"/>
      <c r="B94" s="31"/>
      <c r="C94" s="31"/>
      <c r="D94" s="32"/>
      <c r="E94" s="168" t="s">
        <v>1130</v>
      </c>
      <c r="F94" s="706">
        <f>SUM(F90:F93)</f>
        <v>8.7349999999999994</v>
      </c>
      <c r="G94" s="29"/>
      <c r="H94" s="83"/>
    </row>
    <row r="95" spans="1:8" customFormat="1" ht="15">
      <c r="A95" s="145"/>
      <c r="B95" s="31"/>
      <c r="C95" s="66"/>
      <c r="D95" s="242"/>
      <c r="E95" s="157"/>
      <c r="F95" s="144"/>
      <c r="G95" s="62"/>
      <c r="H95" s="83"/>
    </row>
    <row r="96" spans="1:8" customFormat="1" ht="15">
      <c r="A96" s="34">
        <f>MAX(A$1:A95)+1</f>
        <v>12</v>
      </c>
      <c r="B96" s="31"/>
      <c r="C96" s="36" t="s">
        <v>472</v>
      </c>
      <c r="D96" s="248"/>
      <c r="E96" s="38" t="s">
        <v>473</v>
      </c>
      <c r="F96" s="78"/>
      <c r="G96" s="40" t="s">
        <v>18</v>
      </c>
      <c r="H96" s="64">
        <v>1.9950000000000001</v>
      </c>
    </row>
    <row r="97" spans="1:10" customFormat="1" ht="15">
      <c r="A97" s="145"/>
      <c r="B97" s="31"/>
      <c r="C97" s="66"/>
      <c r="D97" s="67" t="s">
        <v>2745</v>
      </c>
      <c r="E97" s="71" t="s">
        <v>2746</v>
      </c>
      <c r="F97" s="61"/>
      <c r="G97" s="62" t="s">
        <v>18</v>
      </c>
      <c r="H97" s="83">
        <v>1.9950000000000001</v>
      </c>
    </row>
    <row r="98" spans="1:10" customFormat="1" ht="15">
      <c r="A98" s="145"/>
      <c r="B98" s="31"/>
      <c r="C98" s="66"/>
      <c r="D98" s="242"/>
      <c r="E98" s="157" t="s">
        <v>3028</v>
      </c>
      <c r="F98" s="144">
        <f>(50+7)*0.35*0.1</f>
        <v>1.9950000000000001</v>
      </c>
      <c r="G98" s="62"/>
      <c r="H98" s="83"/>
    </row>
    <row r="99" spans="1:10" customFormat="1" ht="15">
      <c r="A99" s="145"/>
      <c r="B99" s="31"/>
      <c r="C99" s="31"/>
      <c r="D99" s="32"/>
      <c r="E99" s="168"/>
      <c r="F99" s="603"/>
      <c r="G99" s="29"/>
      <c r="H99" s="83"/>
    </row>
    <row r="100" spans="1:10" customFormat="1" ht="15">
      <c r="A100" s="34">
        <f>MAX(A$1:A99)+1</f>
        <v>13</v>
      </c>
      <c r="B100" s="43"/>
      <c r="C100" s="36" t="s">
        <v>50</v>
      </c>
      <c r="D100" s="37"/>
      <c r="E100" s="38" t="s">
        <v>51</v>
      </c>
      <c r="F100" s="39"/>
      <c r="G100" s="40" t="s">
        <v>18</v>
      </c>
      <c r="H100" s="64">
        <v>15.15</v>
      </c>
    </row>
    <row r="101" spans="1:10" customFormat="1" ht="25.5">
      <c r="A101" s="145"/>
      <c r="B101" s="73"/>
      <c r="C101" s="66"/>
      <c r="D101" s="67" t="s">
        <v>138</v>
      </c>
      <c r="E101" s="71" t="s">
        <v>139</v>
      </c>
      <c r="F101" s="61"/>
      <c r="G101" s="62" t="s">
        <v>18</v>
      </c>
      <c r="H101" s="83">
        <v>15.15</v>
      </c>
    </row>
    <row r="102" spans="1:10" customFormat="1" ht="25.5">
      <c r="A102" s="145"/>
      <c r="B102" s="31"/>
      <c r="C102" s="31"/>
      <c r="D102" s="32"/>
      <c r="E102" s="168" t="s">
        <v>3029</v>
      </c>
      <c r="F102" s="170">
        <f>(14.11+11.26+(3.14*(0.08*0.08)*26)-8.74-2)</f>
        <v>15.152495999999999</v>
      </c>
      <c r="G102" s="29"/>
      <c r="H102" s="83"/>
    </row>
    <row r="103" spans="1:10" customFormat="1" ht="15">
      <c r="A103" s="145"/>
      <c r="B103" s="31"/>
      <c r="C103" s="31"/>
      <c r="D103" s="32"/>
      <c r="E103" s="168"/>
      <c r="F103" s="172"/>
      <c r="G103" s="29"/>
      <c r="H103" s="83"/>
      <c r="J103" s="208"/>
    </row>
    <row r="104" spans="1:10" customFormat="1" ht="15">
      <c r="A104" s="34">
        <f>MAX(A$1:A103)+1</f>
        <v>14</v>
      </c>
      <c r="B104" s="31"/>
      <c r="C104" s="36" t="s">
        <v>484</v>
      </c>
      <c r="D104" s="37"/>
      <c r="E104" s="38" t="s">
        <v>485</v>
      </c>
      <c r="F104" s="39"/>
      <c r="G104" s="40" t="s">
        <v>36</v>
      </c>
      <c r="H104" s="64">
        <v>26</v>
      </c>
    </row>
    <row r="105" spans="1:10" customFormat="1" ht="25.5">
      <c r="A105" s="145"/>
      <c r="B105" s="31"/>
      <c r="C105" s="66"/>
      <c r="D105" s="67" t="s">
        <v>486</v>
      </c>
      <c r="E105" s="71" t="s">
        <v>487</v>
      </c>
      <c r="F105" s="61"/>
      <c r="G105" s="62" t="s">
        <v>36</v>
      </c>
      <c r="H105" s="83">
        <v>26</v>
      </c>
    </row>
    <row r="106" spans="1:10" customFormat="1" ht="15">
      <c r="A106" s="145"/>
      <c r="B106" s="31"/>
      <c r="C106" s="125"/>
      <c r="D106" s="601"/>
      <c r="E106" s="168" t="s">
        <v>3030</v>
      </c>
      <c r="F106" s="603">
        <f>13*2</f>
        <v>26</v>
      </c>
      <c r="G106" s="32"/>
      <c r="H106" s="83"/>
    </row>
    <row r="107" spans="1:10" customFormat="1" ht="15">
      <c r="A107" s="145"/>
      <c r="B107" s="125"/>
      <c r="C107" s="125"/>
      <c r="D107" s="601"/>
      <c r="E107" s="193"/>
      <c r="F107" s="603"/>
      <c r="G107" s="32"/>
      <c r="H107" s="83"/>
    </row>
    <row r="108" spans="1:10" customFormat="1" ht="15">
      <c r="A108" s="145"/>
      <c r="B108" s="35" t="s">
        <v>2749</v>
      </c>
      <c r="C108" s="35"/>
      <c r="D108" s="94"/>
      <c r="E108" s="50" t="s">
        <v>2750</v>
      </c>
      <c r="F108" s="28"/>
      <c r="G108" s="29"/>
      <c r="H108" s="83"/>
    </row>
    <row r="109" spans="1:10" customFormat="1" ht="15">
      <c r="A109" s="145"/>
      <c r="B109" s="31"/>
      <c r="C109" s="31"/>
      <c r="D109" s="32"/>
      <c r="E109" s="33"/>
      <c r="F109" s="28"/>
      <c r="G109" s="29"/>
      <c r="H109" s="83"/>
    </row>
    <row r="110" spans="1:10" customFormat="1" ht="15">
      <c r="A110" s="34">
        <f>MAX(A$1:A109)+1</f>
        <v>15</v>
      </c>
      <c r="B110" s="31"/>
      <c r="C110" s="36" t="s">
        <v>418</v>
      </c>
      <c r="D110" s="37"/>
      <c r="E110" s="38" t="s">
        <v>419</v>
      </c>
      <c r="F110" s="39"/>
      <c r="G110" s="40" t="s">
        <v>18</v>
      </c>
      <c r="H110" s="64">
        <v>11.71</v>
      </c>
    </row>
    <row r="111" spans="1:10" customFormat="1" ht="15">
      <c r="A111" s="145"/>
      <c r="B111" s="31"/>
      <c r="C111" s="31"/>
      <c r="D111" s="191" t="s">
        <v>2751</v>
      </c>
      <c r="E111" s="193" t="s">
        <v>2752</v>
      </c>
      <c r="F111" s="192"/>
      <c r="G111" s="32" t="s">
        <v>18</v>
      </c>
      <c r="H111" s="83">
        <v>11.71</v>
      </c>
    </row>
    <row r="112" spans="1:10" customFormat="1" ht="15">
      <c r="A112" s="145"/>
      <c r="B112" s="31"/>
      <c r="C112" s="31"/>
      <c r="D112" s="191"/>
      <c r="E112" s="168" t="s">
        <v>2971</v>
      </c>
      <c r="F112" s="603">
        <f>(1.5*1.5*1.5)*3</f>
        <v>10.125</v>
      </c>
      <c r="G112" s="32"/>
      <c r="H112" s="83"/>
    </row>
    <row r="113" spans="1:8" customFormat="1" ht="15">
      <c r="A113" s="145"/>
      <c r="B113" s="31"/>
      <c r="C113" s="31"/>
      <c r="D113" s="191"/>
      <c r="E113" s="168" t="s">
        <v>3031</v>
      </c>
      <c r="F113" s="603">
        <f>(0.8*0.7*0.7)*3</f>
        <v>1.1759999999999999</v>
      </c>
      <c r="G113" s="32"/>
      <c r="H113" s="83"/>
    </row>
    <row r="114" spans="1:8" customFormat="1" ht="15">
      <c r="A114" s="145"/>
      <c r="B114" s="31"/>
      <c r="C114" s="31"/>
      <c r="D114" s="191"/>
      <c r="E114" s="168" t="s">
        <v>2973</v>
      </c>
      <c r="F114" s="705">
        <f>1.5*0.55*0.5</f>
        <v>0.41250000000000003</v>
      </c>
      <c r="G114" s="32"/>
      <c r="H114" s="83"/>
    </row>
    <row r="115" spans="1:8" customFormat="1" ht="15">
      <c r="A115" s="145"/>
      <c r="B115" s="31"/>
      <c r="C115" s="31"/>
      <c r="D115" s="191"/>
      <c r="E115" s="168" t="s">
        <v>2766</v>
      </c>
      <c r="F115" s="170">
        <f>SUM(F112:F114)</f>
        <v>11.7135</v>
      </c>
      <c r="G115" s="32"/>
      <c r="H115" s="83"/>
    </row>
    <row r="116" spans="1:8" customFormat="1" ht="15">
      <c r="A116" s="145"/>
      <c r="B116" s="31"/>
      <c r="C116" s="31"/>
      <c r="D116" s="32"/>
      <c r="E116" s="33"/>
      <c r="F116" s="28"/>
      <c r="G116" s="29"/>
      <c r="H116" s="83"/>
    </row>
    <row r="117" spans="1:8" customFormat="1" ht="15">
      <c r="A117" s="34">
        <f>MAX(A$1:A116)+1</f>
        <v>16</v>
      </c>
      <c r="B117" s="31"/>
      <c r="C117" s="36" t="s">
        <v>2754</v>
      </c>
      <c r="D117" s="37"/>
      <c r="E117" s="38" t="s">
        <v>2755</v>
      </c>
      <c r="F117" s="39"/>
      <c r="G117" s="40" t="s">
        <v>21</v>
      </c>
      <c r="H117" s="64">
        <v>9.18</v>
      </c>
    </row>
    <row r="118" spans="1:8" customFormat="1" ht="15">
      <c r="A118" s="145"/>
      <c r="B118" s="31"/>
      <c r="C118" s="31"/>
      <c r="D118" s="67" t="s">
        <v>2756</v>
      </c>
      <c r="E118" s="71" t="s">
        <v>2757</v>
      </c>
      <c r="F118" s="61"/>
      <c r="G118" s="62" t="s">
        <v>21</v>
      </c>
      <c r="H118" s="83">
        <v>9.18</v>
      </c>
    </row>
    <row r="119" spans="1:8" customFormat="1" ht="15">
      <c r="A119" s="145"/>
      <c r="B119" s="31"/>
      <c r="C119" s="31"/>
      <c r="D119" s="67"/>
      <c r="E119" s="168" t="s">
        <v>2974</v>
      </c>
      <c r="F119" s="603">
        <f>(1.5*1.5)*3</f>
        <v>6.75</v>
      </c>
      <c r="G119" s="62"/>
      <c r="H119" s="83"/>
    </row>
    <row r="120" spans="1:8" customFormat="1" ht="15">
      <c r="A120" s="145"/>
      <c r="B120" s="31"/>
      <c r="C120" s="31"/>
      <c r="D120" s="67"/>
      <c r="E120" s="168" t="s">
        <v>3032</v>
      </c>
      <c r="F120" s="603">
        <f>(0.8*0.7)*3</f>
        <v>1.6799999999999997</v>
      </c>
      <c r="G120" s="62"/>
      <c r="H120" s="83"/>
    </row>
    <row r="121" spans="1:8" customFormat="1" ht="15">
      <c r="A121" s="145"/>
      <c r="B121" s="31"/>
      <c r="C121" s="31"/>
      <c r="D121" s="67"/>
      <c r="E121" s="168" t="s">
        <v>2976</v>
      </c>
      <c r="F121" s="705">
        <f>1.5*0.5</f>
        <v>0.75</v>
      </c>
      <c r="G121" s="62"/>
      <c r="H121" s="83"/>
    </row>
    <row r="122" spans="1:8" customFormat="1" ht="15">
      <c r="A122" s="145"/>
      <c r="B122" s="31"/>
      <c r="C122" s="31"/>
      <c r="D122" s="67"/>
      <c r="E122" s="168" t="s">
        <v>2766</v>
      </c>
      <c r="F122" s="170">
        <f>SUM(F119:F121)</f>
        <v>9.18</v>
      </c>
      <c r="G122" s="62"/>
      <c r="H122" s="83"/>
    </row>
    <row r="123" spans="1:8" customFormat="1" ht="15">
      <c r="A123" s="145"/>
      <c r="B123" s="125"/>
      <c r="C123" s="125"/>
      <c r="D123" s="601"/>
      <c r="E123" s="193"/>
      <c r="F123" s="603"/>
      <c r="G123" s="32"/>
      <c r="H123" s="83"/>
    </row>
    <row r="124" spans="1:8" customFormat="1" ht="25.5">
      <c r="A124" s="145"/>
      <c r="B124" s="35" t="s">
        <v>270</v>
      </c>
      <c r="C124" s="35"/>
      <c r="D124" s="94"/>
      <c r="E124" s="50" t="s">
        <v>271</v>
      </c>
      <c r="F124" s="28"/>
      <c r="G124" s="29"/>
      <c r="H124" s="30"/>
    </row>
    <row r="125" spans="1:8" customFormat="1" ht="15">
      <c r="A125" s="145"/>
      <c r="B125" s="31"/>
      <c r="C125" s="31"/>
      <c r="D125" s="32"/>
      <c r="E125" s="33"/>
      <c r="F125" s="28"/>
      <c r="G125" s="29"/>
      <c r="H125" s="30"/>
    </row>
    <row r="126" spans="1:8" customFormat="1" ht="25.5">
      <c r="A126" s="34">
        <f>MAX(A$1:A125)+1</f>
        <v>17</v>
      </c>
      <c r="B126" s="31"/>
      <c r="C126" s="36" t="s">
        <v>2759</v>
      </c>
      <c r="D126" s="37"/>
      <c r="E126" s="38" t="s">
        <v>2760</v>
      </c>
      <c r="F126" s="39"/>
      <c r="G126" s="40" t="s">
        <v>18</v>
      </c>
      <c r="H126" s="64">
        <v>2.57</v>
      </c>
    </row>
    <row r="127" spans="1:8" customFormat="1" ht="25.5">
      <c r="A127" s="145"/>
      <c r="B127" s="31"/>
      <c r="C127" s="31"/>
      <c r="D127" s="191" t="s">
        <v>2761</v>
      </c>
      <c r="E127" s="193" t="s">
        <v>2762</v>
      </c>
      <c r="F127" s="192"/>
      <c r="G127" s="62" t="s">
        <v>18</v>
      </c>
      <c r="H127" s="83">
        <v>2.57</v>
      </c>
    </row>
    <row r="128" spans="1:8" customFormat="1" ht="25.5">
      <c r="A128" s="145"/>
      <c r="B128" s="31"/>
      <c r="C128" s="31"/>
      <c r="D128" s="32"/>
      <c r="E128" s="168" t="s">
        <v>3033</v>
      </c>
      <c r="F128" s="170">
        <f>(15*0.65*0.3)-((3.14*(0.05*0.05)*15)*3)</f>
        <v>2.5717499999999998</v>
      </c>
      <c r="G128" s="29"/>
      <c r="H128" s="30"/>
    </row>
    <row r="129" spans="1:8" customFormat="1" ht="15">
      <c r="A129" s="145"/>
      <c r="B129" s="31"/>
      <c r="C129" s="31"/>
      <c r="D129" s="32"/>
      <c r="E129" s="33"/>
      <c r="F129" s="28"/>
      <c r="G129" s="29"/>
      <c r="H129" s="30"/>
    </row>
    <row r="130" spans="1:8" customFormat="1" ht="25.5">
      <c r="A130" s="34">
        <f>MAX(A$1:A129)+1</f>
        <v>18</v>
      </c>
      <c r="B130" s="31"/>
      <c r="C130" s="36" t="s">
        <v>576</v>
      </c>
      <c r="D130" s="37"/>
      <c r="E130" s="38" t="s">
        <v>577</v>
      </c>
      <c r="F130" s="39"/>
      <c r="G130" s="40" t="s">
        <v>36</v>
      </c>
      <c r="H130" s="64">
        <v>159</v>
      </c>
    </row>
    <row r="131" spans="1:8" customFormat="1" ht="25.5">
      <c r="A131" s="145"/>
      <c r="B131" s="31"/>
      <c r="C131" s="31"/>
      <c r="D131" s="67" t="s">
        <v>754</v>
      </c>
      <c r="E131" s="71" t="s">
        <v>755</v>
      </c>
      <c r="F131" s="61"/>
      <c r="G131" s="62" t="s">
        <v>36</v>
      </c>
      <c r="H131" s="83">
        <v>159</v>
      </c>
    </row>
    <row r="132" spans="1:8" customFormat="1" ht="15">
      <c r="A132" s="145"/>
      <c r="B132" s="31"/>
      <c r="C132" s="31"/>
      <c r="D132" s="32"/>
      <c r="E132" s="168" t="s">
        <v>3034</v>
      </c>
      <c r="F132" s="170">
        <f>(50+7)*2</f>
        <v>114</v>
      </c>
      <c r="G132" s="29"/>
      <c r="H132" s="30"/>
    </row>
    <row r="133" spans="1:8" customFormat="1" ht="15">
      <c r="A133" s="145"/>
      <c r="B133" s="31"/>
      <c r="C133" s="31"/>
      <c r="D133" s="32"/>
      <c r="E133" s="168" t="s">
        <v>3035</v>
      </c>
      <c r="F133" s="180">
        <f>15*3</f>
        <v>45</v>
      </c>
      <c r="G133" s="29"/>
      <c r="H133" s="30"/>
    </row>
    <row r="134" spans="1:8" customFormat="1" ht="15">
      <c r="A134" s="145"/>
      <c r="B134" s="31"/>
      <c r="C134" s="31"/>
      <c r="D134" s="32"/>
      <c r="E134" s="168" t="s">
        <v>2766</v>
      </c>
      <c r="F134" s="170">
        <f>SUM(F132:F133)</f>
        <v>159</v>
      </c>
      <c r="G134" s="29"/>
      <c r="H134" s="30"/>
    </row>
    <row r="135" spans="1:8" customFormat="1" ht="15">
      <c r="A135" s="145"/>
      <c r="B135" s="125"/>
      <c r="C135" s="125"/>
      <c r="D135" s="601"/>
      <c r="E135" s="193"/>
      <c r="F135" s="603"/>
      <c r="G135" s="32"/>
      <c r="H135" s="83"/>
    </row>
    <row r="136" spans="1:8" customFormat="1" ht="15">
      <c r="A136" s="95"/>
      <c r="B136" s="35" t="s">
        <v>621</v>
      </c>
      <c r="C136" s="35"/>
      <c r="D136" s="94"/>
      <c r="E136" s="50" t="s">
        <v>622</v>
      </c>
      <c r="F136" s="100"/>
      <c r="G136" s="97"/>
      <c r="H136" s="42"/>
    </row>
    <row r="137" spans="1:8" customFormat="1" ht="15">
      <c r="A137" s="95"/>
      <c r="B137" s="35"/>
      <c r="C137" s="35"/>
      <c r="D137" s="94"/>
      <c r="E137" s="50"/>
      <c r="F137" s="100"/>
      <c r="G137" s="97"/>
      <c r="H137" s="42"/>
    </row>
    <row r="138" spans="1:8" customFormat="1" ht="15">
      <c r="A138" s="34">
        <f>MAX(A$1:A137)+1</f>
        <v>19</v>
      </c>
      <c r="B138" s="35"/>
      <c r="C138" s="195">
        <v>92010101</v>
      </c>
      <c r="D138" s="196"/>
      <c r="E138" s="38" t="s">
        <v>2852</v>
      </c>
      <c r="F138" s="39"/>
      <c r="G138" s="40" t="s">
        <v>33</v>
      </c>
      <c r="H138" s="64">
        <v>9</v>
      </c>
    </row>
    <row r="139" spans="1:8" customFormat="1" ht="15">
      <c r="A139" s="34"/>
      <c r="B139" s="35"/>
      <c r="C139" s="35"/>
      <c r="D139" s="199">
        <v>9201010104</v>
      </c>
      <c r="E139" s="71" t="s">
        <v>2908</v>
      </c>
      <c r="F139" s="61"/>
      <c r="G139" s="62" t="s">
        <v>33</v>
      </c>
      <c r="H139" s="83">
        <v>9</v>
      </c>
    </row>
    <row r="140" spans="1:8" customFormat="1" ht="25.5">
      <c r="A140" s="34"/>
      <c r="B140" s="35"/>
      <c r="C140" s="35"/>
      <c r="D140" s="199"/>
      <c r="E140" s="168" t="s">
        <v>2980</v>
      </c>
      <c r="F140" s="603">
        <v>3</v>
      </c>
      <c r="G140" s="62"/>
      <c r="H140" s="83"/>
    </row>
    <row r="141" spans="1:8" customFormat="1" ht="25.5">
      <c r="A141" s="34"/>
      <c r="B141" s="35"/>
      <c r="C141" s="35"/>
      <c r="D141" s="199"/>
      <c r="E141" s="168" t="s">
        <v>3036</v>
      </c>
      <c r="F141" s="603">
        <v>1</v>
      </c>
      <c r="G141" s="62"/>
      <c r="H141" s="83"/>
    </row>
    <row r="142" spans="1:8" customFormat="1" ht="25.5">
      <c r="A142" s="34"/>
      <c r="B142" s="35"/>
      <c r="C142" s="35"/>
      <c r="D142" s="94"/>
      <c r="E142" s="168" t="s">
        <v>2982</v>
      </c>
      <c r="F142" s="603">
        <v>2</v>
      </c>
      <c r="G142" s="97"/>
      <c r="H142" s="42"/>
    </row>
    <row r="143" spans="1:8" customFormat="1" ht="15">
      <c r="A143" s="34"/>
      <c r="B143" s="35"/>
      <c r="C143" s="35"/>
      <c r="D143" s="94"/>
      <c r="E143" s="168" t="s">
        <v>3037</v>
      </c>
      <c r="F143" s="603">
        <v>2</v>
      </c>
      <c r="G143" s="97"/>
      <c r="H143" s="42"/>
    </row>
    <row r="144" spans="1:8" customFormat="1" ht="15">
      <c r="A144" s="34"/>
      <c r="B144" s="35"/>
      <c r="C144" s="35"/>
      <c r="D144" s="94"/>
      <c r="E144" s="168" t="s">
        <v>2985</v>
      </c>
      <c r="F144" s="705">
        <v>1</v>
      </c>
      <c r="G144" s="97"/>
      <c r="H144" s="42"/>
    </row>
    <row r="145" spans="1:8" customFormat="1" ht="15">
      <c r="A145" s="34"/>
      <c r="B145" s="35"/>
      <c r="C145" s="35"/>
      <c r="D145" s="94"/>
      <c r="E145" s="168" t="s">
        <v>1130</v>
      </c>
      <c r="F145" s="706">
        <f>SUM(F140:F144)</f>
        <v>9</v>
      </c>
      <c r="G145" s="97"/>
      <c r="H145" s="42"/>
    </row>
    <row r="146" spans="1:8" customFormat="1" ht="15">
      <c r="A146" s="34"/>
      <c r="B146" s="35"/>
      <c r="C146" s="35"/>
      <c r="D146" s="94"/>
      <c r="E146" s="50"/>
      <c r="F146" s="100"/>
      <c r="G146" s="97"/>
      <c r="H146" s="42"/>
    </row>
    <row r="147" spans="1:8" customFormat="1" ht="15">
      <c r="A147" s="34">
        <f>MAX(A$1:A146)+1</f>
        <v>20</v>
      </c>
      <c r="B147" s="35"/>
      <c r="C147" s="195">
        <v>92010109</v>
      </c>
      <c r="D147" s="196"/>
      <c r="E147" s="38" t="s">
        <v>2855</v>
      </c>
      <c r="F147" s="39"/>
      <c r="G147" s="40" t="s">
        <v>33</v>
      </c>
      <c r="H147" s="64">
        <v>6</v>
      </c>
    </row>
    <row r="148" spans="1:8" customFormat="1" ht="15">
      <c r="A148" s="95"/>
      <c r="B148" s="35"/>
      <c r="C148" s="198"/>
      <c r="D148" s="199">
        <v>9201010902</v>
      </c>
      <c r="E148" s="71" t="s">
        <v>2856</v>
      </c>
      <c r="F148" s="61"/>
      <c r="G148" s="62" t="s">
        <v>33</v>
      </c>
      <c r="H148" s="83">
        <v>6</v>
      </c>
    </row>
    <row r="149" spans="1:8" customFormat="1" ht="15">
      <c r="A149" s="95"/>
      <c r="B149" s="35"/>
      <c r="C149" s="125"/>
      <c r="D149" s="601"/>
      <c r="E149" s="168" t="s">
        <v>2986</v>
      </c>
      <c r="F149" s="603">
        <v>6</v>
      </c>
      <c r="G149" s="32"/>
      <c r="H149" s="83"/>
    </row>
    <row r="150" spans="1:8" customFormat="1" ht="15">
      <c r="A150" s="95"/>
      <c r="B150" s="35"/>
      <c r="C150" s="125"/>
      <c r="D150" s="601"/>
      <c r="E150" s="168"/>
      <c r="F150" s="603"/>
      <c r="G150" s="32"/>
      <c r="H150" s="83"/>
    </row>
    <row r="151" spans="1:8" customFormat="1" ht="25.5">
      <c r="A151" s="34">
        <f>MAX(A$1:A150)+1</f>
        <v>21</v>
      </c>
      <c r="B151" s="35"/>
      <c r="C151" s="195">
        <v>92020102</v>
      </c>
      <c r="D151" s="196"/>
      <c r="E151" s="38" t="s">
        <v>756</v>
      </c>
      <c r="F151" s="39"/>
      <c r="G151" s="40" t="s">
        <v>36</v>
      </c>
      <c r="H151" s="64">
        <v>1465</v>
      </c>
    </row>
    <row r="152" spans="1:8" customFormat="1" ht="25.5">
      <c r="A152" s="95"/>
      <c r="B152" s="35"/>
      <c r="C152" s="31"/>
      <c r="D152" s="199">
        <v>9202010205</v>
      </c>
      <c r="E152" s="71" t="s">
        <v>757</v>
      </c>
      <c r="F152" s="61"/>
      <c r="G152" s="62" t="s">
        <v>36</v>
      </c>
      <c r="H152" s="83">
        <v>1465</v>
      </c>
    </row>
    <row r="153" spans="1:8" customFormat="1" ht="15">
      <c r="A153" s="95"/>
      <c r="B153" s="35"/>
      <c r="C153" s="31"/>
      <c r="D153" s="199"/>
      <c r="E153" s="168" t="s">
        <v>1385</v>
      </c>
      <c r="F153" s="170">
        <v>980</v>
      </c>
      <c r="G153" s="62"/>
      <c r="H153" s="83"/>
    </row>
    <row r="154" spans="1:8" customFormat="1" ht="15">
      <c r="A154" s="95"/>
      <c r="B154" s="35"/>
      <c r="C154" s="31"/>
      <c r="D154" s="32"/>
      <c r="E154" s="168" t="s">
        <v>2987</v>
      </c>
      <c r="F154" s="170">
        <v>215</v>
      </c>
      <c r="G154" s="29"/>
      <c r="H154" s="30"/>
    </row>
    <row r="155" spans="1:8" customFormat="1" ht="15">
      <c r="A155" s="95"/>
      <c r="B155" s="35"/>
      <c r="C155" s="31"/>
      <c r="D155" s="32"/>
      <c r="E155" s="168" t="s">
        <v>2988</v>
      </c>
      <c r="F155" s="170">
        <v>11</v>
      </c>
      <c r="G155" s="29"/>
      <c r="H155" s="30"/>
    </row>
    <row r="156" spans="1:8" customFormat="1" ht="15">
      <c r="A156" s="95"/>
      <c r="B156" s="35"/>
      <c r="C156" s="31"/>
      <c r="D156" s="32"/>
      <c r="E156" s="168" t="s">
        <v>2989</v>
      </c>
      <c r="F156" s="180">
        <v>259</v>
      </c>
      <c r="G156" s="29"/>
      <c r="H156" s="30"/>
    </row>
    <row r="157" spans="1:8" customFormat="1" ht="15">
      <c r="A157" s="95"/>
      <c r="B157" s="35"/>
      <c r="C157" s="31"/>
      <c r="D157" s="32"/>
      <c r="E157" s="168" t="s">
        <v>2766</v>
      </c>
      <c r="F157" s="170">
        <f>SUM(F153:F156)</f>
        <v>1465</v>
      </c>
      <c r="G157" s="29"/>
      <c r="H157" s="30"/>
    </row>
    <row r="158" spans="1:8" customFormat="1" ht="15">
      <c r="A158" s="95"/>
      <c r="B158" s="35"/>
      <c r="C158" s="125"/>
      <c r="D158" s="601"/>
      <c r="E158" s="168"/>
      <c r="F158" s="603"/>
      <c r="G158" s="32"/>
      <c r="H158" s="83"/>
    </row>
    <row r="159" spans="1:8" customFormat="1" ht="25.5">
      <c r="A159" s="34">
        <f>MAX(A$1:A158)+1</f>
        <v>22</v>
      </c>
      <c r="B159" s="125"/>
      <c r="C159" s="195">
        <v>92020105</v>
      </c>
      <c r="D159" s="196"/>
      <c r="E159" s="38" t="s">
        <v>2768</v>
      </c>
      <c r="F159" s="39"/>
      <c r="G159" s="40" t="s">
        <v>36</v>
      </c>
      <c r="H159" s="64">
        <v>111.5</v>
      </c>
    </row>
    <row r="160" spans="1:8" customFormat="1" ht="25.5">
      <c r="A160" s="34"/>
      <c r="B160" s="125"/>
      <c r="C160" s="125"/>
      <c r="D160" s="199">
        <v>9202010510</v>
      </c>
      <c r="E160" s="71" t="s">
        <v>2912</v>
      </c>
      <c r="F160" s="61"/>
      <c r="G160" s="62" t="s">
        <v>36</v>
      </c>
      <c r="H160" s="83">
        <v>111.5</v>
      </c>
    </row>
    <row r="161" spans="1:8" customFormat="1" ht="15">
      <c r="A161" s="34"/>
      <c r="B161" s="125"/>
      <c r="C161" s="125"/>
      <c r="D161" s="601"/>
      <c r="E161" s="168" t="s">
        <v>2913</v>
      </c>
      <c r="F161" s="603">
        <v>105.5</v>
      </c>
      <c r="G161" s="32"/>
      <c r="H161" s="83"/>
    </row>
    <row r="162" spans="1:8">
      <c r="A162" s="34"/>
      <c r="B162" s="125"/>
      <c r="C162" s="125"/>
      <c r="D162" s="601"/>
      <c r="E162" s="168" t="s">
        <v>2991</v>
      </c>
      <c r="F162" s="705">
        <v>6</v>
      </c>
      <c r="G162" s="32"/>
      <c r="H162" s="83"/>
    </row>
    <row r="163" spans="1:8">
      <c r="A163" s="34"/>
      <c r="B163" s="125"/>
      <c r="C163" s="125"/>
      <c r="D163" s="601"/>
      <c r="E163" s="168" t="s">
        <v>2766</v>
      </c>
      <c r="F163" s="170">
        <f>SUM(F161:F162)</f>
        <v>111.5</v>
      </c>
      <c r="G163" s="32"/>
      <c r="H163" s="83"/>
    </row>
    <row r="164" spans="1:8">
      <c r="A164" s="34"/>
      <c r="B164" s="125"/>
      <c r="C164" s="125"/>
      <c r="D164" s="601"/>
      <c r="E164" s="193"/>
      <c r="F164" s="603"/>
      <c r="G164" s="32"/>
      <c r="H164" s="83"/>
    </row>
    <row r="165" spans="1:8" ht="25.5">
      <c r="A165" s="34">
        <f>MAX(A$1:A164)+1</f>
        <v>23</v>
      </c>
      <c r="B165" s="43"/>
      <c r="C165" s="195">
        <v>92020301</v>
      </c>
      <c r="D165" s="196"/>
      <c r="E165" s="38" t="s">
        <v>476</v>
      </c>
      <c r="F165" s="39"/>
      <c r="G165" s="40" t="s">
        <v>33</v>
      </c>
      <c r="H165" s="64">
        <v>85</v>
      </c>
    </row>
    <row r="166" spans="1:8" ht="25.5">
      <c r="A166" s="34"/>
      <c r="B166" s="43"/>
      <c r="C166" s="195"/>
      <c r="D166" s="199">
        <v>9202030101</v>
      </c>
      <c r="E166" s="71" t="s">
        <v>477</v>
      </c>
      <c r="F166" s="61"/>
      <c r="G166" s="62" t="s">
        <v>33</v>
      </c>
      <c r="H166" s="83">
        <v>1</v>
      </c>
    </row>
    <row r="167" spans="1:8">
      <c r="A167" s="34"/>
      <c r="B167" s="43"/>
      <c r="C167" s="195"/>
      <c r="D167" s="199"/>
      <c r="E167" s="168" t="s">
        <v>2992</v>
      </c>
      <c r="F167" s="603">
        <v>1</v>
      </c>
      <c r="G167" s="62"/>
      <c r="H167" s="64"/>
    </row>
    <row r="168" spans="1:8" ht="25.5">
      <c r="A168" s="72"/>
      <c r="B168" s="73"/>
      <c r="C168" s="198"/>
      <c r="D168" s="199">
        <v>9202030102</v>
      </c>
      <c r="E168" s="71" t="s">
        <v>490</v>
      </c>
      <c r="F168" s="61"/>
      <c r="G168" s="62" t="s">
        <v>33</v>
      </c>
      <c r="H168" s="83">
        <v>84</v>
      </c>
    </row>
    <row r="169" spans="1:8">
      <c r="A169" s="34"/>
      <c r="B169" s="125"/>
      <c r="C169" s="125"/>
      <c r="D169" s="601"/>
      <c r="E169" s="168" t="s">
        <v>2914</v>
      </c>
      <c r="F169" s="603">
        <v>30</v>
      </c>
      <c r="G169" s="32"/>
      <c r="H169" s="83"/>
    </row>
    <row r="170" spans="1:8">
      <c r="A170" s="34"/>
      <c r="B170" s="125"/>
      <c r="C170" s="125"/>
      <c r="D170" s="601"/>
      <c r="E170" s="168" t="s">
        <v>2993</v>
      </c>
      <c r="F170" s="603">
        <v>16</v>
      </c>
      <c r="G170" s="32"/>
      <c r="H170" s="83"/>
    </row>
    <row r="171" spans="1:8">
      <c r="A171" s="34"/>
      <c r="B171" s="125"/>
      <c r="C171" s="125"/>
      <c r="D171" s="601"/>
      <c r="E171" s="168" t="s">
        <v>2915</v>
      </c>
      <c r="F171" s="603">
        <v>2</v>
      </c>
      <c r="G171" s="32"/>
      <c r="H171" s="83"/>
    </row>
    <row r="172" spans="1:8">
      <c r="A172" s="34"/>
      <c r="B172" s="125"/>
      <c r="C172" s="125"/>
      <c r="D172" s="601"/>
      <c r="E172" s="168" t="s">
        <v>2994</v>
      </c>
      <c r="F172" s="603">
        <v>10</v>
      </c>
      <c r="G172" s="32"/>
      <c r="H172" s="83"/>
    </row>
    <row r="173" spans="1:8">
      <c r="A173" s="34"/>
      <c r="B173" s="125"/>
      <c r="C173" s="125"/>
      <c r="D173" s="601"/>
      <c r="E173" s="168" t="s">
        <v>2995</v>
      </c>
      <c r="F173" s="705">
        <v>26</v>
      </c>
      <c r="G173" s="32"/>
      <c r="H173" s="83"/>
    </row>
    <row r="174" spans="1:8">
      <c r="A174" s="34"/>
      <c r="B174" s="125"/>
      <c r="C174" s="125"/>
      <c r="D174" s="601"/>
      <c r="E174" s="168" t="s">
        <v>1130</v>
      </c>
      <c r="F174" s="706">
        <f>SUM(F169:F173)</f>
        <v>84</v>
      </c>
      <c r="G174" s="32"/>
      <c r="H174" s="83"/>
    </row>
    <row r="175" spans="1:8">
      <c r="A175" s="34"/>
      <c r="B175" s="125"/>
      <c r="C175" s="125"/>
      <c r="D175" s="601"/>
      <c r="E175" s="168"/>
      <c r="F175" s="603"/>
      <c r="G175" s="32"/>
      <c r="H175" s="83"/>
    </row>
    <row r="176" spans="1:8" ht="25.5">
      <c r="A176" s="34">
        <f>MAX(A$1:A175)+1</f>
        <v>24</v>
      </c>
      <c r="B176" s="43"/>
      <c r="C176" s="195">
        <v>92020702</v>
      </c>
      <c r="D176" s="196"/>
      <c r="E176" s="38" t="s">
        <v>718</v>
      </c>
      <c r="F176" s="39"/>
      <c r="G176" s="40" t="s">
        <v>33</v>
      </c>
      <c r="H176" s="64">
        <v>101</v>
      </c>
    </row>
    <row r="177" spans="1:8" ht="25.5">
      <c r="A177" s="72"/>
      <c r="B177" s="73"/>
      <c r="C177" s="198"/>
      <c r="D177" s="199">
        <v>9202070202</v>
      </c>
      <c r="E177" s="71" t="s">
        <v>719</v>
      </c>
      <c r="F177" s="61"/>
      <c r="G177" s="62" t="s">
        <v>33</v>
      </c>
      <c r="H177" s="83">
        <v>101</v>
      </c>
    </row>
    <row r="178" spans="1:8">
      <c r="A178" s="34"/>
      <c r="B178" s="125"/>
      <c r="C178" s="125"/>
      <c r="D178" s="601"/>
      <c r="E178" s="168" t="s">
        <v>1386</v>
      </c>
      <c r="F178" s="603">
        <v>101</v>
      </c>
      <c r="G178" s="32"/>
      <c r="H178" s="83"/>
    </row>
    <row r="179" spans="1:8">
      <c r="A179" s="34"/>
      <c r="B179" s="125"/>
      <c r="C179" s="125"/>
      <c r="D179" s="601"/>
      <c r="E179" s="168"/>
      <c r="F179" s="603"/>
      <c r="G179" s="32"/>
      <c r="H179" s="83"/>
    </row>
    <row r="180" spans="1:8" ht="25.5">
      <c r="A180" s="34">
        <f>MAX(A$1:A179)+1</f>
        <v>25</v>
      </c>
      <c r="B180" s="125"/>
      <c r="C180" s="195">
        <v>92022501</v>
      </c>
      <c r="D180" s="196"/>
      <c r="E180" s="38" t="s">
        <v>478</v>
      </c>
      <c r="F180" s="39"/>
      <c r="G180" s="40" t="s">
        <v>33</v>
      </c>
      <c r="H180" s="64">
        <v>97</v>
      </c>
    </row>
    <row r="181" spans="1:8" ht="25.5">
      <c r="A181" s="34"/>
      <c r="B181" s="125"/>
      <c r="C181" s="195"/>
      <c r="D181" s="199">
        <v>9202250101</v>
      </c>
      <c r="E181" s="71" t="s">
        <v>758</v>
      </c>
      <c r="F181" s="61"/>
      <c r="G181" s="62" t="s">
        <v>33</v>
      </c>
      <c r="H181" s="83">
        <v>4</v>
      </c>
    </row>
    <row r="182" spans="1:8">
      <c r="A182" s="34"/>
      <c r="B182" s="125"/>
      <c r="C182" s="195"/>
      <c r="D182" s="199"/>
      <c r="E182" s="168" t="s">
        <v>2996</v>
      </c>
      <c r="F182" s="603">
        <v>1</v>
      </c>
      <c r="G182" s="62"/>
      <c r="H182" s="83"/>
    </row>
    <row r="183" spans="1:8">
      <c r="A183" s="34"/>
      <c r="B183" s="125"/>
      <c r="C183" s="195"/>
      <c r="D183" s="199"/>
      <c r="E183" s="168" t="s">
        <v>2997</v>
      </c>
      <c r="F183" s="603">
        <v>1</v>
      </c>
      <c r="G183" s="62"/>
      <c r="H183" s="83"/>
    </row>
    <row r="184" spans="1:8">
      <c r="A184" s="34"/>
      <c r="B184" s="125"/>
      <c r="C184" s="195"/>
      <c r="D184" s="199"/>
      <c r="E184" s="168" t="s">
        <v>2998</v>
      </c>
      <c r="F184" s="603">
        <v>1</v>
      </c>
      <c r="G184" s="62"/>
      <c r="H184" s="83"/>
    </row>
    <row r="185" spans="1:8">
      <c r="A185" s="34"/>
      <c r="B185" s="125"/>
      <c r="C185" s="195"/>
      <c r="D185" s="199"/>
      <c r="E185" s="168" t="s">
        <v>2999</v>
      </c>
      <c r="F185" s="705">
        <v>1</v>
      </c>
      <c r="G185" s="62"/>
      <c r="H185" s="83"/>
    </row>
    <row r="186" spans="1:8">
      <c r="A186" s="34"/>
      <c r="B186" s="125"/>
      <c r="C186" s="195"/>
      <c r="D186" s="199"/>
      <c r="E186" s="168" t="s">
        <v>1130</v>
      </c>
      <c r="F186" s="706">
        <f>SUM(F182:F185)</f>
        <v>4</v>
      </c>
      <c r="G186" s="62"/>
      <c r="H186" s="83"/>
    </row>
    <row r="187" spans="1:8" ht="25.5">
      <c r="A187" s="34"/>
      <c r="B187" s="125"/>
      <c r="C187" s="195"/>
      <c r="D187" s="199">
        <v>9202250102</v>
      </c>
      <c r="E187" s="71" t="s">
        <v>479</v>
      </c>
      <c r="F187" s="61"/>
      <c r="G187" s="62" t="s">
        <v>33</v>
      </c>
      <c r="H187" s="83">
        <v>23</v>
      </c>
    </row>
    <row r="188" spans="1:8">
      <c r="A188" s="34"/>
      <c r="B188" s="125"/>
      <c r="C188" s="195"/>
      <c r="D188" s="199"/>
      <c r="E188" s="168" t="s">
        <v>1385</v>
      </c>
      <c r="F188" s="603">
        <v>13</v>
      </c>
      <c r="G188" s="62"/>
      <c r="H188" s="83"/>
    </row>
    <row r="189" spans="1:8">
      <c r="A189" s="34"/>
      <c r="B189" s="125"/>
      <c r="C189" s="195"/>
      <c r="D189" s="199"/>
      <c r="E189" s="168" t="s">
        <v>2987</v>
      </c>
      <c r="F189" s="603">
        <v>4</v>
      </c>
      <c r="G189" s="62"/>
      <c r="H189" s="83"/>
    </row>
    <row r="190" spans="1:8">
      <c r="A190" s="34"/>
      <c r="B190" s="125"/>
      <c r="C190" s="195"/>
      <c r="D190" s="199"/>
      <c r="E190" s="168" t="s">
        <v>2988</v>
      </c>
      <c r="F190" s="603">
        <v>1</v>
      </c>
      <c r="G190" s="62"/>
      <c r="H190" s="83"/>
    </row>
    <row r="191" spans="1:8">
      <c r="A191" s="34"/>
      <c r="B191" s="125"/>
      <c r="C191" s="195"/>
      <c r="D191" s="199"/>
      <c r="E191" s="168" t="s">
        <v>2989</v>
      </c>
      <c r="F191" s="705">
        <v>5</v>
      </c>
      <c r="G191" s="62"/>
      <c r="H191" s="83"/>
    </row>
    <row r="192" spans="1:8">
      <c r="A192" s="34"/>
      <c r="B192" s="125"/>
      <c r="C192" s="195"/>
      <c r="D192" s="199"/>
      <c r="E192" s="168" t="s">
        <v>1130</v>
      </c>
      <c r="F192" s="706">
        <f>SUM(F188:F191)</f>
        <v>23</v>
      </c>
      <c r="G192" s="62"/>
      <c r="H192" s="83"/>
    </row>
    <row r="193" spans="1:8" ht="25.5">
      <c r="A193" s="34"/>
      <c r="B193" s="125"/>
      <c r="C193" s="125"/>
      <c r="D193" s="199">
        <v>9202250104</v>
      </c>
      <c r="E193" s="71" t="s">
        <v>722</v>
      </c>
      <c r="F193" s="61"/>
      <c r="G193" s="62" t="s">
        <v>33</v>
      </c>
      <c r="H193" s="83">
        <v>24</v>
      </c>
    </row>
    <row r="194" spans="1:8">
      <c r="A194" s="34"/>
      <c r="B194" s="125"/>
      <c r="C194" s="125"/>
      <c r="D194" s="199"/>
      <c r="E194" s="168" t="s">
        <v>3000</v>
      </c>
      <c r="F194" s="603">
        <v>24</v>
      </c>
      <c r="G194" s="62"/>
      <c r="H194" s="83"/>
    </row>
    <row r="195" spans="1:8" ht="25.5">
      <c r="A195" s="34"/>
      <c r="B195" s="125"/>
      <c r="C195" s="125"/>
      <c r="D195" s="199">
        <v>9202250111</v>
      </c>
      <c r="E195" s="71" t="s">
        <v>743</v>
      </c>
      <c r="F195" s="61"/>
      <c r="G195" s="62" t="s">
        <v>33</v>
      </c>
      <c r="H195" s="83">
        <v>46</v>
      </c>
    </row>
    <row r="196" spans="1:8">
      <c r="A196" s="34"/>
      <c r="B196" s="125"/>
      <c r="C196" s="125"/>
      <c r="D196" s="199"/>
      <c r="E196" s="168" t="s">
        <v>3001</v>
      </c>
      <c r="F196" s="603">
        <v>26</v>
      </c>
      <c r="G196" s="62"/>
      <c r="H196" s="83"/>
    </row>
    <row r="197" spans="1:8">
      <c r="A197" s="34"/>
      <c r="B197" s="125"/>
      <c r="C197" s="125"/>
      <c r="D197" s="199"/>
      <c r="E197" s="168" t="s">
        <v>3002</v>
      </c>
      <c r="F197" s="603">
        <v>8</v>
      </c>
      <c r="G197" s="62"/>
      <c r="H197" s="83"/>
    </row>
    <row r="198" spans="1:8">
      <c r="A198" s="34"/>
      <c r="B198" s="125"/>
      <c r="C198" s="125"/>
      <c r="D198" s="199"/>
      <c r="E198" s="168" t="s">
        <v>3003</v>
      </c>
      <c r="F198" s="603">
        <v>2</v>
      </c>
      <c r="G198" s="62"/>
      <c r="H198" s="83"/>
    </row>
    <row r="199" spans="1:8">
      <c r="A199" s="34"/>
      <c r="B199" s="125"/>
      <c r="C199" s="125"/>
      <c r="D199" s="199"/>
      <c r="E199" s="168" t="s">
        <v>3004</v>
      </c>
      <c r="F199" s="705">
        <v>10</v>
      </c>
      <c r="G199" s="62"/>
      <c r="H199" s="83"/>
    </row>
    <row r="200" spans="1:8">
      <c r="A200" s="34"/>
      <c r="B200" s="125"/>
      <c r="C200" s="125"/>
      <c r="D200" s="601"/>
      <c r="E200" s="168" t="s">
        <v>1130</v>
      </c>
      <c r="F200" s="706">
        <f>SUM(F196:F199)</f>
        <v>46</v>
      </c>
      <c r="G200" s="32"/>
      <c r="H200" s="83"/>
    </row>
    <row r="201" spans="1:8">
      <c r="A201" s="34"/>
      <c r="B201" s="125"/>
      <c r="C201" s="125"/>
      <c r="D201" s="199"/>
      <c r="E201" s="168"/>
      <c r="F201" s="603"/>
      <c r="G201" s="62"/>
      <c r="H201" s="83"/>
    </row>
    <row r="202" spans="1:8" ht="25.5">
      <c r="A202" s="34">
        <f>MAX(A$1:A201)+1</f>
        <v>26</v>
      </c>
      <c r="B202" s="43"/>
      <c r="C202" s="195">
        <v>92022705</v>
      </c>
      <c r="D202" s="196"/>
      <c r="E202" s="38" t="s">
        <v>2784</v>
      </c>
      <c r="F202" s="39"/>
      <c r="G202" s="40" t="s">
        <v>33</v>
      </c>
      <c r="H202" s="64">
        <v>15</v>
      </c>
    </row>
    <row r="203" spans="1:8" ht="25.5">
      <c r="A203" s="72"/>
      <c r="B203" s="73"/>
      <c r="C203" s="198"/>
      <c r="D203" s="198">
        <v>9202270506</v>
      </c>
      <c r="E203" s="71" t="s">
        <v>2785</v>
      </c>
      <c r="F203" s="61"/>
      <c r="G203" s="62" t="s">
        <v>33</v>
      </c>
      <c r="H203" s="83">
        <v>15</v>
      </c>
    </row>
    <row r="204" spans="1:8">
      <c r="A204" s="34"/>
      <c r="B204" s="125"/>
      <c r="C204" s="125"/>
      <c r="D204" s="601"/>
      <c r="E204" s="168" t="s">
        <v>3005</v>
      </c>
      <c r="F204" s="603">
        <v>3</v>
      </c>
      <c r="G204" s="32"/>
      <c r="H204" s="83"/>
    </row>
    <row r="205" spans="1:8">
      <c r="A205" s="34"/>
      <c r="B205" s="125"/>
      <c r="C205" s="125"/>
      <c r="D205" s="601"/>
      <c r="E205" s="168" t="s">
        <v>2866</v>
      </c>
      <c r="F205" s="603">
        <v>6</v>
      </c>
      <c r="G205" s="32"/>
      <c r="H205" s="83"/>
    </row>
    <row r="206" spans="1:8">
      <c r="A206" s="34"/>
      <c r="B206" s="125"/>
      <c r="C206" s="125"/>
      <c r="D206" s="601"/>
      <c r="E206" s="168" t="s">
        <v>2787</v>
      </c>
      <c r="F206" s="705">
        <v>6</v>
      </c>
      <c r="G206" s="32"/>
      <c r="H206" s="83"/>
    </row>
    <row r="207" spans="1:8">
      <c r="A207" s="34"/>
      <c r="B207" s="125"/>
      <c r="C207" s="125"/>
      <c r="D207" s="601"/>
      <c r="E207" s="168" t="s">
        <v>1130</v>
      </c>
      <c r="F207" s="706">
        <f>SUM(F204:F206)</f>
        <v>15</v>
      </c>
      <c r="G207" s="32"/>
      <c r="H207" s="83"/>
    </row>
    <row r="208" spans="1:8">
      <c r="A208" s="34"/>
      <c r="B208" s="125"/>
      <c r="C208" s="125"/>
      <c r="D208" s="601"/>
      <c r="E208" s="193"/>
      <c r="F208" s="603"/>
      <c r="G208" s="32"/>
      <c r="H208" s="83"/>
    </row>
    <row r="209" spans="1:8" ht="25.5">
      <c r="A209" s="34">
        <f>MAX(A$1:A208)+1</f>
        <v>27</v>
      </c>
      <c r="B209" s="1259"/>
      <c r="C209" s="195">
        <v>92022801</v>
      </c>
      <c r="D209" s="196"/>
      <c r="E209" s="38" t="s">
        <v>2867</v>
      </c>
      <c r="F209" s="39"/>
      <c r="G209" s="40" t="s">
        <v>36</v>
      </c>
      <c r="H209" s="64">
        <v>104</v>
      </c>
    </row>
    <row r="210" spans="1:8" ht="25.5">
      <c r="A210" s="34"/>
      <c r="B210" s="1259"/>
      <c r="C210" s="195"/>
      <c r="D210" s="199">
        <v>9202280101</v>
      </c>
      <c r="E210" s="71" t="s">
        <v>3006</v>
      </c>
      <c r="F210" s="61"/>
      <c r="G210" s="62" t="s">
        <v>36</v>
      </c>
      <c r="H210" s="83">
        <v>98</v>
      </c>
    </row>
    <row r="211" spans="1:8">
      <c r="A211" s="34"/>
      <c r="B211" s="1259"/>
      <c r="C211" s="195"/>
      <c r="D211" s="196"/>
      <c r="E211" s="168" t="s">
        <v>3007</v>
      </c>
      <c r="F211" s="603">
        <v>98</v>
      </c>
      <c r="G211" s="40"/>
      <c r="H211" s="83"/>
    </row>
    <row r="212" spans="1:8" ht="25.5">
      <c r="A212" s="34"/>
      <c r="B212" s="1259"/>
      <c r="C212" s="198"/>
      <c r="D212" s="199">
        <v>9202280104</v>
      </c>
      <c r="E212" s="71" t="s">
        <v>2868</v>
      </c>
      <c r="F212" s="61"/>
      <c r="G212" s="62" t="s">
        <v>33</v>
      </c>
      <c r="H212" s="83">
        <v>6</v>
      </c>
    </row>
    <row r="213" spans="1:8">
      <c r="A213" s="34"/>
      <c r="B213" s="1259"/>
      <c r="C213" s="125"/>
      <c r="D213" s="601"/>
      <c r="E213" s="168" t="s">
        <v>2870</v>
      </c>
      <c r="F213" s="603">
        <v>6</v>
      </c>
      <c r="G213" s="32"/>
      <c r="H213" s="83"/>
    </row>
    <row r="214" spans="1:8">
      <c r="A214" s="34"/>
      <c r="B214" s="1259"/>
      <c r="C214" s="125"/>
      <c r="D214" s="601"/>
      <c r="E214" s="193"/>
      <c r="F214" s="603"/>
      <c r="G214" s="32"/>
      <c r="H214" s="83"/>
    </row>
    <row r="215" spans="1:8" ht="25.5">
      <c r="A215" s="34">
        <f>MAX(A$1:A214)+1</f>
        <v>28</v>
      </c>
      <c r="B215" s="1259"/>
      <c r="C215" s="195">
        <v>92050305</v>
      </c>
      <c r="D215" s="196"/>
      <c r="E215" s="38" t="s">
        <v>3008</v>
      </c>
      <c r="F215" s="39"/>
      <c r="G215" s="40" t="s">
        <v>33</v>
      </c>
      <c r="H215" s="64">
        <v>11</v>
      </c>
    </row>
    <row r="216" spans="1:8" ht="25.5">
      <c r="A216" s="34"/>
      <c r="B216" s="1259"/>
      <c r="C216" s="195"/>
      <c r="D216" s="199">
        <v>9205030501</v>
      </c>
      <c r="E216" s="71" t="s">
        <v>3009</v>
      </c>
      <c r="F216" s="61"/>
      <c r="G216" s="62" t="s">
        <v>33</v>
      </c>
      <c r="H216" s="83">
        <v>4</v>
      </c>
    </row>
    <row r="217" spans="1:8">
      <c r="A217" s="34"/>
      <c r="B217" s="1259"/>
      <c r="C217" s="195"/>
      <c r="D217" s="196"/>
      <c r="E217" s="168" t="s">
        <v>3010</v>
      </c>
      <c r="F217" s="603">
        <v>4</v>
      </c>
      <c r="G217" s="40"/>
      <c r="H217" s="64"/>
    </row>
    <row r="218" spans="1:8" ht="25.5">
      <c r="A218" s="34"/>
      <c r="B218" s="1259"/>
      <c r="C218" s="125"/>
      <c r="D218" s="198">
        <v>9205030508</v>
      </c>
      <c r="E218" s="71" t="s">
        <v>3011</v>
      </c>
      <c r="F218" s="61"/>
      <c r="G218" s="62" t="s">
        <v>33</v>
      </c>
      <c r="H218" s="83">
        <v>7</v>
      </c>
    </row>
    <row r="219" spans="1:8">
      <c r="A219" s="34"/>
      <c r="B219" s="1259"/>
      <c r="C219" s="125"/>
      <c r="D219" s="601"/>
      <c r="E219" s="168" t="s">
        <v>3012</v>
      </c>
      <c r="F219" s="603">
        <v>7</v>
      </c>
      <c r="G219" s="32"/>
      <c r="H219" s="83"/>
    </row>
    <row r="220" spans="1:8">
      <c r="A220" s="34"/>
      <c r="B220" s="1259"/>
      <c r="C220" s="125"/>
      <c r="D220" s="601"/>
      <c r="E220" s="193"/>
      <c r="F220" s="603"/>
      <c r="G220" s="32"/>
      <c r="H220" s="83"/>
    </row>
    <row r="221" spans="1:8" ht="25.5">
      <c r="A221" s="34">
        <f>MAX(A$1:A220)+1</f>
        <v>29</v>
      </c>
      <c r="B221" s="1259"/>
      <c r="C221" s="36" t="s">
        <v>2920</v>
      </c>
      <c r="D221" s="37"/>
      <c r="E221" s="38" t="s">
        <v>2921</v>
      </c>
      <c r="F221" s="39"/>
      <c r="G221" s="40" t="s">
        <v>33</v>
      </c>
      <c r="H221" s="64">
        <v>16</v>
      </c>
    </row>
    <row r="222" spans="1:8" ht="25.5">
      <c r="A222" s="34"/>
      <c r="B222" s="1259"/>
      <c r="C222" s="66"/>
      <c r="D222" s="67" t="s">
        <v>2922</v>
      </c>
      <c r="E222" s="71" t="s">
        <v>2923</v>
      </c>
      <c r="F222" s="61"/>
      <c r="G222" s="62" t="s">
        <v>33</v>
      </c>
      <c r="H222" s="1260">
        <v>15</v>
      </c>
    </row>
    <row r="223" spans="1:8">
      <c r="A223" s="34"/>
      <c r="B223" s="1259"/>
      <c r="C223" s="125"/>
      <c r="D223" s="1261"/>
      <c r="E223" s="168" t="s">
        <v>3014</v>
      </c>
      <c r="F223" s="603">
        <v>4</v>
      </c>
      <c r="G223" s="32"/>
      <c r="H223" s="1260"/>
    </row>
    <row r="224" spans="1:8">
      <c r="A224" s="34"/>
      <c r="B224" s="1259"/>
      <c r="C224" s="125"/>
      <c r="D224" s="1261"/>
      <c r="E224" s="168" t="s">
        <v>3015</v>
      </c>
      <c r="F224" s="603">
        <v>7</v>
      </c>
      <c r="G224" s="32"/>
      <c r="H224" s="1260"/>
    </row>
    <row r="225" spans="1:8" ht="25.5">
      <c r="A225" s="34"/>
      <c r="B225" s="1259"/>
      <c r="C225" s="125"/>
      <c r="D225" s="1261"/>
      <c r="E225" s="168" t="s">
        <v>3016</v>
      </c>
      <c r="F225" s="705">
        <v>4</v>
      </c>
      <c r="G225" s="32"/>
      <c r="H225" s="1260"/>
    </row>
    <row r="226" spans="1:8">
      <c r="A226" s="34"/>
      <c r="B226" s="1259"/>
      <c r="C226" s="125"/>
      <c r="D226" s="1261"/>
      <c r="E226" s="168" t="s">
        <v>1130</v>
      </c>
      <c r="F226" s="706">
        <f>SUM(F223:F225)</f>
        <v>15</v>
      </c>
      <c r="G226" s="32"/>
      <c r="H226" s="1260"/>
    </row>
    <row r="227" spans="1:8" ht="25.5">
      <c r="A227" s="34"/>
      <c r="B227" s="1259"/>
      <c r="C227" s="125"/>
      <c r="D227" s="67" t="s">
        <v>3018</v>
      </c>
      <c r="E227" s="71" t="s">
        <v>3019</v>
      </c>
      <c r="F227" s="61"/>
      <c r="G227" s="62" t="s">
        <v>33</v>
      </c>
      <c r="H227" s="1260">
        <v>1</v>
      </c>
    </row>
    <row r="228" spans="1:8">
      <c r="A228" s="34"/>
      <c r="B228" s="1259"/>
      <c r="C228" s="125"/>
      <c r="D228" s="1261"/>
      <c r="E228" s="168" t="s">
        <v>3020</v>
      </c>
      <c r="F228" s="603">
        <v>1</v>
      </c>
      <c r="G228" s="32"/>
      <c r="H228" s="1260"/>
    </row>
    <row r="229" spans="1:8">
      <c r="A229" s="34"/>
      <c r="B229" s="1259"/>
      <c r="C229" s="125"/>
      <c r="D229" s="1261"/>
      <c r="E229" s="168"/>
      <c r="F229" s="603"/>
      <c r="G229" s="32"/>
      <c r="H229" s="1260"/>
    </row>
    <row r="230" spans="1:8" ht="25.5">
      <c r="A230" s="34">
        <f>MAX(A$1:A229)+1</f>
        <v>30</v>
      </c>
      <c r="B230" s="1259"/>
      <c r="C230" s="36" t="s">
        <v>2928</v>
      </c>
      <c r="D230" s="37"/>
      <c r="E230" s="38" t="s">
        <v>2929</v>
      </c>
      <c r="F230" s="39"/>
      <c r="G230" s="40" t="s">
        <v>33</v>
      </c>
      <c r="H230" s="64">
        <v>7</v>
      </c>
    </row>
    <row r="231" spans="1:8" ht="38.25">
      <c r="A231" s="34"/>
      <c r="B231" s="1259"/>
      <c r="C231" s="125"/>
      <c r="D231" s="67" t="s">
        <v>2930</v>
      </c>
      <c r="E231" s="71" t="s">
        <v>2931</v>
      </c>
      <c r="F231" s="61"/>
      <c r="G231" s="62" t="s">
        <v>33</v>
      </c>
      <c r="H231" s="1260">
        <v>7</v>
      </c>
    </row>
    <row r="232" spans="1:8">
      <c r="A232" s="34"/>
      <c r="B232" s="1259"/>
      <c r="C232" s="125"/>
      <c r="D232" s="1261"/>
      <c r="E232" s="168" t="s">
        <v>2932</v>
      </c>
      <c r="F232" s="603">
        <v>6</v>
      </c>
      <c r="G232" s="32"/>
      <c r="H232" s="1260"/>
    </row>
    <row r="233" spans="1:8">
      <c r="A233" s="34"/>
      <c r="B233" s="1259"/>
      <c r="C233" s="125"/>
      <c r="D233" s="1261"/>
      <c r="E233" s="168" t="s">
        <v>2933</v>
      </c>
      <c r="F233" s="705">
        <v>1</v>
      </c>
      <c r="G233" s="32"/>
      <c r="H233" s="1260"/>
    </row>
    <row r="234" spans="1:8">
      <c r="A234" s="34"/>
      <c r="B234" s="1259"/>
      <c r="C234" s="125"/>
      <c r="D234" s="1261"/>
      <c r="E234" s="168" t="s">
        <v>1130</v>
      </c>
      <c r="F234" s="706">
        <f>SUM(F232:F233)</f>
        <v>7</v>
      </c>
      <c r="G234" s="32"/>
      <c r="H234" s="1260"/>
    </row>
    <row r="235" spans="1:8">
      <c r="A235" s="34"/>
      <c r="B235" s="43"/>
      <c r="C235" s="36"/>
      <c r="D235" s="37"/>
      <c r="E235" s="38"/>
      <c r="F235" s="46"/>
      <c r="G235" s="40"/>
      <c r="H235" s="254"/>
    </row>
    <row r="236" spans="1:8" ht="15">
      <c r="A236" s="72"/>
      <c r="B236" s="73"/>
      <c r="C236" s="66"/>
      <c r="D236" s="67"/>
      <c r="E236" s="84"/>
      <c r="F236" s="90"/>
      <c r="G236" s="62"/>
      <c r="H236" s="99"/>
    </row>
    <row r="237" spans="1:8" ht="13.5" thickBot="1">
      <c r="A237" s="106"/>
      <c r="B237" s="107"/>
      <c r="C237" s="107"/>
      <c r="D237" s="107"/>
      <c r="E237" s="108"/>
      <c r="F237" s="109"/>
      <c r="G237" s="107"/>
      <c r="H237" s="110"/>
    </row>
  </sheetData>
  <sheetProtection algorithmName="SHA-512" hashValue="OunR+3DEu/LqDQVuzqNV4st2aOxg8y2au6Q+DJft2QPnU5HcWnyBmmd2j+UTnox7ZKmZJr8JPnpB0aMrym+RdQ==" saltValue="HDI7UQWv6FDjar3qUGQ5g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ED3C7-0E29-407E-B475-516E78FC5B18}">
  <sheetPr codeName="Hárok47"/>
  <dimension ref="A1:J23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3039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16.940000000000001</v>
      </c>
    </row>
    <row r="9" spans="1:8">
      <c r="A9" s="47"/>
      <c r="B9" s="24"/>
      <c r="C9" s="25"/>
      <c r="D9" s="26"/>
      <c r="E9" s="27"/>
      <c r="F9" s="144">
        <f>F81</f>
        <v>16.937200000000001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2123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1976</v>
      </c>
    </row>
    <row r="25" spans="1:8">
      <c r="A25" s="145"/>
      <c r="B25" s="43"/>
      <c r="C25" s="36"/>
      <c r="D25" s="67"/>
      <c r="E25" s="168" t="s">
        <v>2936</v>
      </c>
      <c r="F25" s="603">
        <v>871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2937</v>
      </c>
      <c r="F26" s="603">
        <v>97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2938</v>
      </c>
      <c r="F27" s="603">
        <v>448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2939</v>
      </c>
      <c r="F28" s="603">
        <v>149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2940</v>
      </c>
      <c r="F29" s="603">
        <v>335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2941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2895</v>
      </c>
      <c r="F31" s="705">
        <v>68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1130</v>
      </c>
      <c r="F32" s="706">
        <f>SUM(F25:F31)</f>
        <v>1976</v>
      </c>
      <c r="G32" s="130"/>
      <c r="H32" s="64"/>
    </row>
    <row r="33" spans="1:8" customFormat="1" ht="38.25">
      <c r="A33" s="145"/>
      <c r="B33" s="73"/>
      <c r="C33" s="66"/>
      <c r="D33" s="67" t="s">
        <v>491</v>
      </c>
      <c r="E33" s="71" t="s">
        <v>492</v>
      </c>
      <c r="F33" s="61"/>
      <c r="G33" s="62" t="s">
        <v>33</v>
      </c>
      <c r="H33" s="83">
        <v>147</v>
      </c>
    </row>
    <row r="34" spans="1:8" customFormat="1" ht="15">
      <c r="A34" s="145"/>
      <c r="B34" s="73"/>
      <c r="C34" s="66"/>
      <c r="D34" s="67"/>
      <c r="E34" s="168" t="s">
        <v>2943</v>
      </c>
      <c r="F34" s="603">
        <v>16</v>
      </c>
      <c r="G34" s="62"/>
      <c r="H34" s="83"/>
    </row>
    <row r="35" spans="1:8" customFormat="1" ht="15">
      <c r="A35" s="145"/>
      <c r="B35" s="125"/>
      <c r="C35" s="125"/>
      <c r="D35" s="601"/>
      <c r="E35" s="168" t="s">
        <v>2896</v>
      </c>
      <c r="F35" s="603">
        <v>8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1131</v>
      </c>
      <c r="F36" s="603">
        <v>40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2898</v>
      </c>
      <c r="F37" s="603">
        <v>40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2945</v>
      </c>
      <c r="F38" s="603">
        <v>5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2899</v>
      </c>
      <c r="F39" s="603">
        <v>15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2947</v>
      </c>
      <c r="F40" s="603">
        <v>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2948</v>
      </c>
      <c r="F41" s="603">
        <v>10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2900</v>
      </c>
      <c r="F42" s="603">
        <v>4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2949</v>
      </c>
      <c r="F43" s="603">
        <v>4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2950</v>
      </c>
      <c r="F44" s="705">
        <v>3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1130</v>
      </c>
      <c r="F45" s="706">
        <f>SUM(F34:F44)</f>
        <v>147</v>
      </c>
      <c r="G45" s="32"/>
      <c r="H45" s="83"/>
    </row>
    <row r="46" spans="1:8" customFormat="1" ht="15">
      <c r="A46" s="145"/>
      <c r="B46" s="125"/>
      <c r="C46" s="125"/>
      <c r="D46" s="601"/>
      <c r="E46" s="168"/>
      <c r="F46" s="603"/>
      <c r="G46" s="32"/>
      <c r="H46" s="83"/>
    </row>
    <row r="47" spans="1:8" customFormat="1" ht="25.5">
      <c r="A47" s="34">
        <f>MAX(A$1:A46)+1</f>
        <v>6</v>
      </c>
      <c r="B47" s="125"/>
      <c r="C47" s="36" t="s">
        <v>115</v>
      </c>
      <c r="D47" s="37"/>
      <c r="E47" s="38" t="s">
        <v>116</v>
      </c>
      <c r="F47" s="39"/>
      <c r="G47" s="40" t="s">
        <v>33</v>
      </c>
      <c r="H47" s="64">
        <v>32</v>
      </c>
    </row>
    <row r="48" spans="1:8" customFormat="1" ht="25.5">
      <c r="A48" s="145"/>
      <c r="B48" s="125"/>
      <c r="C48" s="125"/>
      <c r="D48" s="67" t="s">
        <v>2901</v>
      </c>
      <c r="E48" s="71" t="s">
        <v>2902</v>
      </c>
      <c r="F48" s="61"/>
      <c r="G48" s="62" t="s">
        <v>33</v>
      </c>
      <c r="H48" s="83">
        <v>32</v>
      </c>
    </row>
    <row r="49" spans="1:8" customFormat="1" ht="15">
      <c r="A49" s="145"/>
      <c r="B49" s="125"/>
      <c r="C49" s="125"/>
      <c r="D49" s="67"/>
      <c r="E49" s="168" t="s">
        <v>2952</v>
      </c>
      <c r="F49" s="603">
        <v>2</v>
      </c>
      <c r="G49" s="62"/>
      <c r="H49" s="83"/>
    </row>
    <row r="50" spans="1:8" customFormat="1" ht="15">
      <c r="A50" s="145"/>
      <c r="B50" s="125"/>
      <c r="C50" s="125"/>
      <c r="D50" s="67"/>
      <c r="E50" s="168" t="s">
        <v>2953</v>
      </c>
      <c r="F50" s="603">
        <v>6</v>
      </c>
      <c r="G50" s="62"/>
      <c r="H50" s="83"/>
    </row>
    <row r="51" spans="1:8" customFormat="1" ht="15">
      <c r="A51" s="145"/>
      <c r="B51" s="125"/>
      <c r="C51" s="125"/>
      <c r="D51" s="601"/>
      <c r="E51" s="168" t="s">
        <v>2903</v>
      </c>
      <c r="F51" s="603">
        <v>2</v>
      </c>
      <c r="G51" s="32"/>
      <c r="H51" s="83"/>
    </row>
    <row r="52" spans="1:8" customFormat="1" ht="15">
      <c r="A52" s="145"/>
      <c r="B52" s="125"/>
      <c r="C52" s="125"/>
      <c r="D52" s="601"/>
      <c r="E52" s="168" t="s">
        <v>2904</v>
      </c>
      <c r="F52" s="603">
        <v>2</v>
      </c>
      <c r="G52" s="32"/>
      <c r="H52" s="83"/>
    </row>
    <row r="53" spans="1:8" customFormat="1" ht="15">
      <c r="A53" s="145"/>
      <c r="B53" s="125"/>
      <c r="C53" s="125"/>
      <c r="D53" s="601"/>
      <c r="E53" s="168" t="s">
        <v>2954</v>
      </c>
      <c r="F53" s="603">
        <v>6</v>
      </c>
      <c r="G53" s="32"/>
      <c r="H53" s="83"/>
    </row>
    <row r="54" spans="1:8" customFormat="1" ht="15">
      <c r="A54" s="145"/>
      <c r="B54" s="125"/>
      <c r="C54" s="125"/>
      <c r="D54" s="601"/>
      <c r="E54" s="168" t="s">
        <v>2906</v>
      </c>
      <c r="F54" s="603">
        <v>6</v>
      </c>
      <c r="G54" s="32"/>
      <c r="H54" s="83"/>
    </row>
    <row r="55" spans="1:8" customFormat="1" ht="15">
      <c r="A55" s="145"/>
      <c r="B55" s="125"/>
      <c r="C55" s="125"/>
      <c r="D55" s="601"/>
      <c r="E55" s="168" t="s">
        <v>2907</v>
      </c>
      <c r="F55" s="603">
        <v>2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2956</v>
      </c>
      <c r="F56" s="705">
        <v>6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1130</v>
      </c>
      <c r="F57" s="706">
        <f>SUM(F49:F56)</f>
        <v>32</v>
      </c>
      <c r="G57" s="32"/>
      <c r="H57" s="83"/>
    </row>
    <row r="58" spans="1:8" customFormat="1" ht="15">
      <c r="A58" s="145"/>
      <c r="B58" s="125"/>
      <c r="C58" s="125"/>
      <c r="D58" s="601"/>
      <c r="E58" s="168"/>
      <c r="F58" s="603"/>
      <c r="G58" s="32"/>
      <c r="H58" s="83"/>
    </row>
    <row r="59" spans="1:8" customFormat="1" ht="15">
      <c r="A59" s="34">
        <f>MAX(A$1:A58)+1</f>
        <v>7</v>
      </c>
      <c r="B59" s="125"/>
      <c r="C59" s="36" t="s">
        <v>37</v>
      </c>
      <c r="D59" s="37"/>
      <c r="E59" s="38" t="s">
        <v>38</v>
      </c>
      <c r="F59" s="39"/>
      <c r="G59" s="40" t="s">
        <v>15</v>
      </c>
      <c r="H59" s="64">
        <v>1.66</v>
      </c>
    </row>
    <row r="60" spans="1:8" customFormat="1" ht="15">
      <c r="A60" s="145"/>
      <c r="B60" s="125"/>
      <c r="C60" s="31"/>
      <c r="D60" s="67" t="s">
        <v>39</v>
      </c>
      <c r="E60" s="71" t="s">
        <v>40</v>
      </c>
      <c r="F60" s="61"/>
      <c r="G60" s="62" t="s">
        <v>15</v>
      </c>
      <c r="H60" s="83">
        <v>1.66</v>
      </c>
    </row>
    <row r="61" spans="1:8" customFormat="1" ht="15">
      <c r="A61" s="145"/>
      <c r="B61" s="125"/>
      <c r="C61" s="31"/>
      <c r="D61" s="32"/>
      <c r="E61" s="168" t="s">
        <v>2736</v>
      </c>
      <c r="F61" s="170">
        <v>1.66</v>
      </c>
      <c r="G61" s="29"/>
      <c r="H61" s="30"/>
    </row>
    <row r="62" spans="1:8" customFormat="1" ht="15">
      <c r="A62" s="145"/>
      <c r="B62" s="125"/>
      <c r="C62" s="125"/>
      <c r="D62" s="601"/>
      <c r="E62" s="193"/>
      <c r="F62" s="603"/>
      <c r="G62" s="32"/>
      <c r="H62" s="83"/>
    </row>
    <row r="63" spans="1:8" customFormat="1" ht="15">
      <c r="A63" s="145"/>
      <c r="B63" s="35" t="s">
        <v>72</v>
      </c>
      <c r="C63" s="93"/>
      <c r="D63" s="94"/>
      <c r="E63" s="50" t="s">
        <v>73</v>
      </c>
      <c r="F63" s="100"/>
      <c r="G63" s="101"/>
      <c r="H63" s="83"/>
    </row>
    <row r="64" spans="1:8" customFormat="1" ht="15">
      <c r="A64" s="145"/>
      <c r="B64" s="125"/>
      <c r="C64" s="125"/>
      <c r="D64" s="601"/>
      <c r="E64" s="168"/>
      <c r="F64" s="603"/>
      <c r="G64" s="32"/>
      <c r="H64" s="83"/>
    </row>
    <row r="65" spans="1:8" customFormat="1" ht="15">
      <c r="A65" s="34">
        <f>MAX(A$1:A64)+1</f>
        <v>8</v>
      </c>
      <c r="B65" s="125"/>
      <c r="C65" s="36" t="s">
        <v>74</v>
      </c>
      <c r="D65" s="37"/>
      <c r="E65" s="38" t="s">
        <v>75</v>
      </c>
      <c r="F65" s="39"/>
      <c r="G65" s="40" t="s">
        <v>18</v>
      </c>
      <c r="H65" s="64">
        <v>16.91</v>
      </c>
    </row>
    <row r="66" spans="1:8" customFormat="1" ht="15">
      <c r="A66" s="145"/>
      <c r="B66" s="125"/>
      <c r="C66" s="125"/>
      <c r="D66" s="67" t="s">
        <v>76</v>
      </c>
      <c r="E66" s="71" t="s">
        <v>77</v>
      </c>
      <c r="F66" s="61"/>
      <c r="G66" s="62" t="s">
        <v>18</v>
      </c>
      <c r="H66" s="83">
        <v>16.91</v>
      </c>
    </row>
    <row r="67" spans="1:8" customFormat="1" ht="15">
      <c r="A67" s="145"/>
      <c r="B67" s="125"/>
      <c r="C67" s="125"/>
      <c r="D67" s="601"/>
      <c r="E67" s="168" t="s">
        <v>3040</v>
      </c>
      <c r="F67" s="603">
        <f>1.2*4</f>
        <v>4.8</v>
      </c>
      <c r="G67" s="32"/>
      <c r="H67" s="83"/>
    </row>
    <row r="68" spans="1:8" customFormat="1" ht="15">
      <c r="A68" s="145"/>
      <c r="B68" s="125"/>
      <c r="C68" s="125"/>
      <c r="D68" s="601"/>
      <c r="E68" s="168" t="s">
        <v>2959</v>
      </c>
      <c r="F68" s="603">
        <f>(1.5*1.5*1.5)*3</f>
        <v>10.125</v>
      </c>
      <c r="G68" s="32"/>
      <c r="H68" s="83"/>
    </row>
    <row r="69" spans="1:8" customFormat="1" ht="15">
      <c r="A69" s="145"/>
      <c r="B69" s="125"/>
      <c r="C69" s="125"/>
      <c r="D69" s="601"/>
      <c r="E69" s="168" t="s">
        <v>3041</v>
      </c>
      <c r="F69" s="603">
        <f>(0.8*0.7*0.7)*4</f>
        <v>1.5679999999999998</v>
      </c>
      <c r="G69" s="32"/>
      <c r="H69" s="83"/>
    </row>
    <row r="70" spans="1:8" customFormat="1" ht="15">
      <c r="A70" s="145"/>
      <c r="B70" s="125"/>
      <c r="C70" s="125"/>
      <c r="D70" s="601"/>
      <c r="E70" s="168" t="s">
        <v>2961</v>
      </c>
      <c r="F70" s="705">
        <f>1.5*0.55*0.5</f>
        <v>0.41250000000000003</v>
      </c>
      <c r="G70" s="32"/>
      <c r="H70" s="83"/>
    </row>
    <row r="71" spans="1:8" customFormat="1" ht="15">
      <c r="A71" s="145"/>
      <c r="B71" s="125"/>
      <c r="C71" s="125"/>
      <c r="D71" s="601"/>
      <c r="E71" s="168" t="s">
        <v>2766</v>
      </c>
      <c r="F71" s="170">
        <f>SUM(F67:F70)</f>
        <v>16.905500000000004</v>
      </c>
      <c r="G71" s="32"/>
      <c r="H71" s="83"/>
    </row>
    <row r="72" spans="1:8" customFormat="1" ht="15">
      <c r="A72" s="145"/>
      <c r="B72" s="125"/>
      <c r="C72" s="125"/>
      <c r="D72" s="601"/>
      <c r="E72" s="168"/>
      <c r="F72" s="603"/>
      <c r="G72" s="32"/>
      <c r="H72" s="83"/>
    </row>
    <row r="73" spans="1:8" customFormat="1" ht="15">
      <c r="A73" s="34">
        <f>MAX(A$1:A72)+1</f>
        <v>9</v>
      </c>
      <c r="B73" s="31"/>
      <c r="C73" s="36" t="s">
        <v>158</v>
      </c>
      <c r="D73" s="37"/>
      <c r="E73" s="38" t="s">
        <v>159</v>
      </c>
      <c r="F73" s="39"/>
      <c r="G73" s="40" t="s">
        <v>18</v>
      </c>
      <c r="H73" s="64">
        <v>9.18</v>
      </c>
    </row>
    <row r="74" spans="1:8" customFormat="1" ht="15">
      <c r="A74" s="145"/>
      <c r="B74" s="31"/>
      <c r="C74" s="31"/>
      <c r="D74" s="67" t="s">
        <v>160</v>
      </c>
      <c r="E74" s="71" t="s">
        <v>161</v>
      </c>
      <c r="F74" s="61"/>
      <c r="G74" s="62" t="s">
        <v>18</v>
      </c>
      <c r="H74" s="83">
        <v>9.18</v>
      </c>
    </row>
    <row r="75" spans="1:8" customFormat="1" ht="15">
      <c r="A75" s="145"/>
      <c r="B75" s="31"/>
      <c r="C75" s="31"/>
      <c r="D75" s="67"/>
      <c r="E75" s="168" t="s">
        <v>3042</v>
      </c>
      <c r="F75" s="170">
        <f>30*0.35*0.19</f>
        <v>1.9950000000000001</v>
      </c>
      <c r="G75" s="62"/>
      <c r="H75" s="83"/>
    </row>
    <row r="76" spans="1:8" customFormat="1" ht="15">
      <c r="A76" s="145"/>
      <c r="B76" s="31"/>
      <c r="C76" s="31"/>
      <c r="D76" s="32"/>
      <c r="E76" s="168" t="s">
        <v>3043</v>
      </c>
      <c r="F76" s="180">
        <f>17*0.65*0.65</f>
        <v>7.182500000000001</v>
      </c>
      <c r="G76" s="29"/>
      <c r="H76" s="83"/>
    </row>
    <row r="77" spans="1:8" customFormat="1" ht="15">
      <c r="A77" s="145"/>
      <c r="B77" s="31"/>
      <c r="C77" s="31"/>
      <c r="D77" s="32"/>
      <c r="E77" s="168" t="s">
        <v>1130</v>
      </c>
      <c r="F77" s="706">
        <f>SUM(F75:F76)</f>
        <v>9.177500000000002</v>
      </c>
      <c r="G77" s="29"/>
      <c r="H77" s="83"/>
    </row>
    <row r="78" spans="1:8" customFormat="1" ht="15">
      <c r="A78" s="145"/>
      <c r="B78" s="125"/>
      <c r="C78" s="125"/>
      <c r="D78" s="601"/>
      <c r="E78" s="168"/>
      <c r="F78" s="603"/>
      <c r="G78" s="32"/>
      <c r="H78" s="83"/>
    </row>
    <row r="79" spans="1:8" customFormat="1" ht="15">
      <c r="A79" s="34">
        <f>MAX(A$1:A78)+1</f>
        <v>10</v>
      </c>
      <c r="B79" s="31"/>
      <c r="C79" s="36" t="s">
        <v>58</v>
      </c>
      <c r="D79" s="248"/>
      <c r="E79" s="38" t="s">
        <v>59</v>
      </c>
      <c r="F79" s="78"/>
      <c r="G79" s="40" t="s">
        <v>18</v>
      </c>
      <c r="H79" s="64">
        <v>16.940000000000001</v>
      </c>
    </row>
    <row r="80" spans="1:8" customFormat="1" ht="15">
      <c r="A80" s="145"/>
      <c r="B80" s="31"/>
      <c r="C80" s="66"/>
      <c r="D80" s="242" t="s">
        <v>60</v>
      </c>
      <c r="E80" s="71" t="s">
        <v>61</v>
      </c>
      <c r="F80" s="28"/>
      <c r="G80" s="62" t="s">
        <v>18</v>
      </c>
      <c r="H80" s="83">
        <v>16.940000000000001</v>
      </c>
    </row>
    <row r="81" spans="1:8" customFormat="1" ht="15">
      <c r="A81" s="145"/>
      <c r="B81" s="31"/>
      <c r="C81" s="66"/>
      <c r="D81" s="242"/>
      <c r="E81" s="157" t="s">
        <v>2741</v>
      </c>
      <c r="F81" s="144">
        <f>F96</f>
        <v>16.937200000000001</v>
      </c>
      <c r="G81" s="62"/>
      <c r="H81" s="83"/>
    </row>
    <row r="82" spans="1:8" customFormat="1" ht="15">
      <c r="A82" s="145"/>
      <c r="B82" s="31"/>
      <c r="C82" s="66"/>
      <c r="D82" s="242"/>
      <c r="E82" s="157"/>
      <c r="F82" s="144"/>
      <c r="G82" s="62"/>
      <c r="H82" s="83"/>
    </row>
    <row r="83" spans="1:8" customFormat="1" ht="15">
      <c r="A83" s="34">
        <f>MAX(A$1:A82)+1</f>
        <v>11</v>
      </c>
      <c r="B83" s="31"/>
      <c r="C83" s="36" t="s">
        <v>78</v>
      </c>
      <c r="D83" s="37"/>
      <c r="E83" s="38" t="s">
        <v>79</v>
      </c>
      <c r="F83" s="39"/>
      <c r="G83" s="40" t="s">
        <v>18</v>
      </c>
      <c r="H83" s="64">
        <v>9.61</v>
      </c>
    </row>
    <row r="84" spans="1:8" customFormat="1" ht="15">
      <c r="A84" s="145"/>
      <c r="B84" s="31"/>
      <c r="C84" s="31"/>
      <c r="D84" s="67" t="s">
        <v>80</v>
      </c>
      <c r="E84" s="71" t="s">
        <v>81</v>
      </c>
      <c r="F84" s="61"/>
      <c r="G84" s="62" t="s">
        <v>18</v>
      </c>
      <c r="H84" s="83">
        <v>9.61</v>
      </c>
    </row>
    <row r="85" spans="1:8" customFormat="1" ht="15">
      <c r="A85" s="145"/>
      <c r="B85" s="31"/>
      <c r="C85" s="31"/>
      <c r="D85" s="67"/>
      <c r="E85" s="168" t="s">
        <v>3040</v>
      </c>
      <c r="F85" s="603">
        <f>1.2*4</f>
        <v>4.8</v>
      </c>
      <c r="G85" s="62"/>
      <c r="H85" s="83"/>
    </row>
    <row r="86" spans="1:8" customFormat="1" ht="15">
      <c r="A86" s="145"/>
      <c r="B86" s="31"/>
      <c r="C86" s="31"/>
      <c r="D86" s="32"/>
      <c r="E86" s="168" t="s">
        <v>3044</v>
      </c>
      <c r="F86" s="170">
        <f>30*0.35*0.09</f>
        <v>0.94499999999999995</v>
      </c>
      <c r="G86" s="29"/>
      <c r="H86" s="83"/>
    </row>
    <row r="87" spans="1:8" customFormat="1" ht="15">
      <c r="A87" s="145"/>
      <c r="B87" s="31"/>
      <c r="C87" s="31"/>
      <c r="D87" s="32"/>
      <c r="E87" s="168" t="s">
        <v>3045</v>
      </c>
      <c r="F87" s="180">
        <f>17*0.65*0.35</f>
        <v>3.8675000000000002</v>
      </c>
      <c r="G87" s="29"/>
      <c r="H87" s="83"/>
    </row>
    <row r="88" spans="1:8" customFormat="1" ht="15">
      <c r="A88" s="145"/>
      <c r="B88" s="31"/>
      <c r="C88" s="31"/>
      <c r="D88" s="32"/>
      <c r="E88" s="168" t="s">
        <v>1130</v>
      </c>
      <c r="F88" s="706">
        <f>SUM(F85:F87)</f>
        <v>9.6125000000000007</v>
      </c>
      <c r="G88" s="29"/>
      <c r="H88" s="83"/>
    </row>
    <row r="89" spans="1:8" customFormat="1" ht="15">
      <c r="A89" s="145"/>
      <c r="B89" s="31"/>
      <c r="C89" s="66"/>
      <c r="D89" s="242"/>
      <c r="E89" s="157"/>
      <c r="F89" s="144"/>
      <c r="G89" s="62"/>
      <c r="H89" s="83"/>
    </row>
    <row r="90" spans="1:8" customFormat="1" ht="15">
      <c r="A90" s="34">
        <f>MAX(A$1:A89)+1</f>
        <v>12</v>
      </c>
      <c r="B90" s="31"/>
      <c r="C90" s="36" t="s">
        <v>472</v>
      </c>
      <c r="D90" s="248"/>
      <c r="E90" s="38" t="s">
        <v>473</v>
      </c>
      <c r="F90" s="78"/>
      <c r="G90" s="40" t="s">
        <v>18</v>
      </c>
      <c r="H90" s="64">
        <v>1.05</v>
      </c>
    </row>
    <row r="91" spans="1:8" customFormat="1" ht="15">
      <c r="A91" s="145"/>
      <c r="B91" s="31"/>
      <c r="C91" s="66"/>
      <c r="D91" s="67" t="s">
        <v>2745</v>
      </c>
      <c r="E91" s="71" t="s">
        <v>2746</v>
      </c>
      <c r="F91" s="61"/>
      <c r="G91" s="62" t="s">
        <v>18</v>
      </c>
      <c r="H91" s="83">
        <v>1.05</v>
      </c>
    </row>
    <row r="92" spans="1:8" customFormat="1" ht="15">
      <c r="A92" s="145"/>
      <c r="B92" s="31"/>
      <c r="C92" s="66"/>
      <c r="D92" s="242"/>
      <c r="E92" s="157" t="s">
        <v>3046</v>
      </c>
      <c r="F92" s="144">
        <f>30*0.35*0.1</f>
        <v>1.05</v>
      </c>
      <c r="G92" s="62"/>
      <c r="H92" s="83"/>
    </row>
    <row r="93" spans="1:8" customFormat="1" ht="15">
      <c r="A93" s="145"/>
      <c r="B93" s="31"/>
      <c r="C93" s="31"/>
      <c r="D93" s="32"/>
      <c r="E93" s="168"/>
      <c r="F93" s="603"/>
      <c r="G93" s="29"/>
      <c r="H93" s="83"/>
    </row>
    <row r="94" spans="1:8" customFormat="1" ht="15">
      <c r="A94" s="34">
        <f>MAX(A$1:A93)+1</f>
        <v>13</v>
      </c>
      <c r="B94" s="43"/>
      <c r="C94" s="36" t="s">
        <v>50</v>
      </c>
      <c r="D94" s="37"/>
      <c r="E94" s="38" t="s">
        <v>51</v>
      </c>
      <c r="F94" s="39"/>
      <c r="G94" s="40" t="s">
        <v>18</v>
      </c>
      <c r="H94" s="64">
        <v>16.940000000000001</v>
      </c>
    </row>
    <row r="95" spans="1:8" customFormat="1" ht="25.5">
      <c r="A95" s="145"/>
      <c r="B95" s="73"/>
      <c r="C95" s="66"/>
      <c r="D95" s="67" t="s">
        <v>138</v>
      </c>
      <c r="E95" s="71" t="s">
        <v>139</v>
      </c>
      <c r="F95" s="61"/>
      <c r="G95" s="62" t="s">
        <v>18</v>
      </c>
      <c r="H95" s="83">
        <v>16.940000000000001</v>
      </c>
    </row>
    <row r="96" spans="1:8" customFormat="1" ht="25.5">
      <c r="A96" s="145"/>
      <c r="B96" s="31"/>
      <c r="C96" s="31"/>
      <c r="D96" s="32"/>
      <c r="E96" s="168" t="s">
        <v>3047</v>
      </c>
      <c r="F96" s="170">
        <f>(16.91+9.18+(3.14*(0.08*0.08)*75)-9.61-1.05)</f>
        <v>16.937200000000001</v>
      </c>
      <c r="G96" s="29"/>
      <c r="H96" s="83"/>
    </row>
    <row r="97" spans="1:10" customFormat="1" ht="15">
      <c r="A97" s="145"/>
      <c r="B97" s="31"/>
      <c r="C97" s="31"/>
      <c r="D97" s="32"/>
      <c r="E97" s="168"/>
      <c r="F97" s="172"/>
      <c r="G97" s="29"/>
      <c r="H97" s="83"/>
    </row>
    <row r="98" spans="1:10" customFormat="1" ht="15">
      <c r="A98" s="34">
        <f>MAX(A$1:A97)+1</f>
        <v>14</v>
      </c>
      <c r="B98" s="31"/>
      <c r="C98" s="36" t="s">
        <v>484</v>
      </c>
      <c r="D98" s="37"/>
      <c r="E98" s="38" t="s">
        <v>485</v>
      </c>
      <c r="F98" s="39"/>
      <c r="G98" s="40" t="s">
        <v>36</v>
      </c>
      <c r="H98" s="64">
        <v>75</v>
      </c>
    </row>
    <row r="99" spans="1:10" customFormat="1" ht="25.5">
      <c r="A99" s="145"/>
      <c r="B99" s="31"/>
      <c r="C99" s="66"/>
      <c r="D99" s="67" t="s">
        <v>486</v>
      </c>
      <c r="E99" s="71" t="s">
        <v>487</v>
      </c>
      <c r="F99" s="61"/>
      <c r="G99" s="62" t="s">
        <v>36</v>
      </c>
      <c r="H99" s="83">
        <v>75</v>
      </c>
    </row>
    <row r="100" spans="1:10" customFormat="1" ht="15">
      <c r="A100" s="145"/>
      <c r="B100" s="31"/>
      <c r="C100" s="125"/>
      <c r="D100" s="601"/>
      <c r="E100" s="168" t="s">
        <v>3048</v>
      </c>
      <c r="F100" s="603">
        <f>3*(15+10)</f>
        <v>75</v>
      </c>
      <c r="G100" s="32"/>
      <c r="H100" s="83"/>
    </row>
    <row r="101" spans="1:10" customFormat="1" ht="15">
      <c r="A101" s="145"/>
      <c r="B101" s="125"/>
      <c r="C101" s="125"/>
      <c r="D101" s="601"/>
      <c r="E101" s="193"/>
      <c r="F101" s="603"/>
      <c r="G101" s="32"/>
      <c r="H101" s="83"/>
    </row>
    <row r="102" spans="1:10" customFormat="1" ht="15">
      <c r="A102" s="145"/>
      <c r="B102" s="35" t="s">
        <v>2749</v>
      </c>
      <c r="C102" s="35"/>
      <c r="D102" s="94"/>
      <c r="E102" s="50" t="s">
        <v>2750</v>
      </c>
      <c r="F102" s="28"/>
      <c r="G102" s="29"/>
      <c r="H102" s="83"/>
    </row>
    <row r="103" spans="1:10" customFormat="1" ht="15">
      <c r="A103" s="145"/>
      <c r="B103" s="31"/>
      <c r="C103" s="31"/>
      <c r="D103" s="32"/>
      <c r="E103" s="33"/>
      <c r="F103" s="28"/>
      <c r="G103" s="29"/>
      <c r="H103" s="83"/>
    </row>
    <row r="104" spans="1:10" customFormat="1" ht="15">
      <c r="A104" s="34">
        <f>MAX(A$1:A103)+1</f>
        <v>15</v>
      </c>
      <c r="B104" s="31"/>
      <c r="C104" s="36" t="s">
        <v>418</v>
      </c>
      <c r="D104" s="37"/>
      <c r="E104" s="38" t="s">
        <v>419</v>
      </c>
      <c r="F104" s="39"/>
      <c r="G104" s="40" t="s">
        <v>18</v>
      </c>
      <c r="H104" s="64">
        <v>12.11</v>
      </c>
    </row>
    <row r="105" spans="1:10" customFormat="1" ht="15">
      <c r="A105" s="145"/>
      <c r="B105" s="31"/>
      <c r="C105" s="31"/>
      <c r="D105" s="191" t="s">
        <v>2751</v>
      </c>
      <c r="E105" s="193" t="s">
        <v>2752</v>
      </c>
      <c r="F105" s="192"/>
      <c r="G105" s="32" t="s">
        <v>18</v>
      </c>
      <c r="H105" s="83">
        <v>12.11</v>
      </c>
      <c r="J105" s="208"/>
    </row>
    <row r="106" spans="1:10" customFormat="1" ht="15">
      <c r="A106" s="145"/>
      <c r="B106" s="31"/>
      <c r="C106" s="31"/>
      <c r="D106" s="191"/>
      <c r="E106" s="168" t="s">
        <v>2971</v>
      </c>
      <c r="F106" s="603">
        <f>(1.5*1.5*1.5)*3</f>
        <v>10.125</v>
      </c>
      <c r="G106" s="32"/>
      <c r="H106" s="83"/>
    </row>
    <row r="107" spans="1:10" customFormat="1" ht="15">
      <c r="A107" s="145"/>
      <c r="B107" s="31"/>
      <c r="C107" s="31"/>
      <c r="D107" s="191"/>
      <c r="E107" s="168" t="s">
        <v>3049</v>
      </c>
      <c r="F107" s="603">
        <f>(0.8*0.7*0.7)*4</f>
        <v>1.5679999999999998</v>
      </c>
      <c r="G107" s="32"/>
      <c r="H107" s="83"/>
    </row>
    <row r="108" spans="1:10" customFormat="1" ht="15">
      <c r="A108" s="145"/>
      <c r="B108" s="31"/>
      <c r="C108" s="31"/>
      <c r="D108" s="191"/>
      <c r="E108" s="168" t="s">
        <v>2973</v>
      </c>
      <c r="F108" s="705">
        <f>1.5*0.55*0.5</f>
        <v>0.41250000000000003</v>
      </c>
      <c r="G108" s="32"/>
      <c r="H108" s="83"/>
    </row>
    <row r="109" spans="1:10" customFormat="1" ht="15">
      <c r="A109" s="145"/>
      <c r="B109" s="31"/>
      <c r="C109" s="31"/>
      <c r="D109" s="191"/>
      <c r="E109" s="168" t="s">
        <v>2766</v>
      </c>
      <c r="F109" s="170">
        <f>SUM(F106:F108)</f>
        <v>12.105499999999999</v>
      </c>
      <c r="G109" s="32"/>
      <c r="H109" s="83"/>
    </row>
    <row r="110" spans="1:10" customFormat="1" ht="15">
      <c r="A110" s="145"/>
      <c r="B110" s="31"/>
      <c r="C110" s="31"/>
      <c r="D110" s="32"/>
      <c r="E110" s="33"/>
      <c r="F110" s="28"/>
      <c r="G110" s="29"/>
      <c r="H110" s="83"/>
    </row>
    <row r="111" spans="1:10" customFormat="1" ht="15">
      <c r="A111" s="34">
        <f>MAX(A$1:A110)+1</f>
        <v>16</v>
      </c>
      <c r="B111" s="31"/>
      <c r="C111" s="36" t="s">
        <v>2754</v>
      </c>
      <c r="D111" s="37"/>
      <c r="E111" s="38" t="s">
        <v>2755</v>
      </c>
      <c r="F111" s="39"/>
      <c r="G111" s="40" t="s">
        <v>21</v>
      </c>
      <c r="H111" s="64">
        <v>9.74</v>
      </c>
    </row>
    <row r="112" spans="1:10" customFormat="1" ht="15">
      <c r="A112" s="145"/>
      <c r="B112" s="31"/>
      <c r="C112" s="31"/>
      <c r="D112" s="67" t="s">
        <v>2756</v>
      </c>
      <c r="E112" s="71" t="s">
        <v>2757</v>
      </c>
      <c r="F112" s="61"/>
      <c r="G112" s="62" t="s">
        <v>21</v>
      </c>
      <c r="H112" s="83">
        <v>9.74</v>
      </c>
    </row>
    <row r="113" spans="1:8" customFormat="1" ht="15">
      <c r="A113" s="145"/>
      <c r="B113" s="31"/>
      <c r="C113" s="31"/>
      <c r="D113" s="67"/>
      <c r="E113" s="168" t="s">
        <v>2974</v>
      </c>
      <c r="F113" s="603">
        <f>(1.5*1.5)*3</f>
        <v>6.75</v>
      </c>
      <c r="G113" s="62"/>
      <c r="H113" s="83"/>
    </row>
    <row r="114" spans="1:8" customFormat="1" ht="15">
      <c r="A114" s="145"/>
      <c r="B114" s="31"/>
      <c r="C114" s="31"/>
      <c r="D114" s="67"/>
      <c r="E114" s="168" t="s">
        <v>3050</v>
      </c>
      <c r="F114" s="603">
        <f>(0.8*0.7)*4</f>
        <v>2.2399999999999998</v>
      </c>
      <c r="G114" s="62"/>
      <c r="H114" s="83"/>
    </row>
    <row r="115" spans="1:8" customFormat="1" ht="15">
      <c r="A115" s="145"/>
      <c r="B115" s="31"/>
      <c r="C115" s="31"/>
      <c r="D115" s="67"/>
      <c r="E115" s="168" t="s">
        <v>2976</v>
      </c>
      <c r="F115" s="705">
        <f>1.5*0.5</f>
        <v>0.75</v>
      </c>
      <c r="G115" s="62"/>
      <c r="H115" s="83"/>
    </row>
    <row r="116" spans="1:8" customFormat="1" ht="15">
      <c r="A116" s="145"/>
      <c r="B116" s="31"/>
      <c r="C116" s="31"/>
      <c r="D116" s="67"/>
      <c r="E116" s="168" t="s">
        <v>2766</v>
      </c>
      <c r="F116" s="170">
        <f>SUM(F113:F115)</f>
        <v>9.74</v>
      </c>
      <c r="G116" s="62"/>
      <c r="H116" s="83"/>
    </row>
    <row r="117" spans="1:8" customFormat="1" ht="15">
      <c r="A117" s="145"/>
      <c r="B117" s="125"/>
      <c r="C117" s="125"/>
      <c r="D117" s="601"/>
      <c r="E117" s="193"/>
      <c r="F117" s="603"/>
      <c r="G117" s="32"/>
      <c r="H117" s="83"/>
    </row>
    <row r="118" spans="1:8" customFormat="1" ht="25.5">
      <c r="A118" s="145"/>
      <c r="B118" s="35" t="s">
        <v>270</v>
      </c>
      <c r="C118" s="35"/>
      <c r="D118" s="94"/>
      <c r="E118" s="50" t="s">
        <v>271</v>
      </c>
      <c r="F118" s="28"/>
      <c r="G118" s="29"/>
      <c r="H118" s="30"/>
    </row>
    <row r="119" spans="1:8" customFormat="1" ht="15">
      <c r="A119" s="145"/>
      <c r="B119" s="31"/>
      <c r="C119" s="31"/>
      <c r="D119" s="32"/>
      <c r="E119" s="33"/>
      <c r="F119" s="28"/>
      <c r="G119" s="29"/>
      <c r="H119" s="30"/>
    </row>
    <row r="120" spans="1:8" customFormat="1" ht="25.5">
      <c r="A120" s="34">
        <f>MAX(A$1:A119)+1</f>
        <v>17</v>
      </c>
      <c r="B120" s="31"/>
      <c r="C120" s="36" t="s">
        <v>2759</v>
      </c>
      <c r="D120" s="37"/>
      <c r="E120" s="38" t="s">
        <v>2760</v>
      </c>
      <c r="F120" s="39"/>
      <c r="G120" s="40" t="s">
        <v>18</v>
      </c>
      <c r="H120" s="64">
        <v>3.18</v>
      </c>
    </row>
    <row r="121" spans="1:8" customFormat="1" ht="25.5">
      <c r="A121" s="145"/>
      <c r="B121" s="31"/>
      <c r="C121" s="31"/>
      <c r="D121" s="191" t="s">
        <v>2761</v>
      </c>
      <c r="E121" s="193" t="s">
        <v>2762</v>
      </c>
      <c r="F121" s="192"/>
      <c r="G121" s="62" t="s">
        <v>18</v>
      </c>
      <c r="H121" s="83">
        <v>3.18</v>
      </c>
    </row>
    <row r="122" spans="1:8" customFormat="1" ht="25.5">
      <c r="A122" s="145"/>
      <c r="B122" s="31"/>
      <c r="C122" s="31"/>
      <c r="D122" s="32"/>
      <c r="E122" s="168" t="s">
        <v>3051</v>
      </c>
      <c r="F122" s="170">
        <f>(17*0.65*0.3)-(3.14*(0.05*0.05)*17)</f>
        <v>3.1815500000000001</v>
      </c>
      <c r="G122" s="29"/>
      <c r="H122" s="30"/>
    </row>
    <row r="123" spans="1:8" customFormat="1" ht="15">
      <c r="A123" s="145"/>
      <c r="B123" s="31"/>
      <c r="C123" s="31"/>
      <c r="D123" s="32"/>
      <c r="E123" s="33"/>
      <c r="F123" s="28"/>
      <c r="G123" s="29"/>
      <c r="H123" s="30"/>
    </row>
    <row r="124" spans="1:8" customFormat="1" ht="25.5">
      <c r="A124" s="34">
        <f>MAX(A$1:A123)+1</f>
        <v>18</v>
      </c>
      <c r="B124" s="31"/>
      <c r="C124" s="36" t="s">
        <v>576</v>
      </c>
      <c r="D124" s="37"/>
      <c r="E124" s="38" t="s">
        <v>577</v>
      </c>
      <c r="F124" s="39"/>
      <c r="G124" s="40" t="s">
        <v>36</v>
      </c>
      <c r="H124" s="64">
        <v>111</v>
      </c>
    </row>
    <row r="125" spans="1:8" customFormat="1" ht="25.5">
      <c r="A125" s="145"/>
      <c r="B125" s="31"/>
      <c r="C125" s="31"/>
      <c r="D125" s="67" t="s">
        <v>754</v>
      </c>
      <c r="E125" s="71" t="s">
        <v>755</v>
      </c>
      <c r="F125" s="61"/>
      <c r="G125" s="62" t="s">
        <v>36</v>
      </c>
      <c r="H125" s="83">
        <v>111</v>
      </c>
    </row>
    <row r="126" spans="1:8" customFormat="1" ht="15">
      <c r="A126" s="145"/>
      <c r="B126" s="31"/>
      <c r="C126" s="31"/>
      <c r="D126" s="32"/>
      <c r="E126" s="168" t="s">
        <v>3052</v>
      </c>
      <c r="F126" s="170">
        <f>30*2</f>
        <v>60</v>
      </c>
      <c r="G126" s="29"/>
      <c r="H126" s="30"/>
    </row>
    <row r="127" spans="1:8" customFormat="1" ht="15">
      <c r="A127" s="145"/>
      <c r="B127" s="31"/>
      <c r="C127" s="31"/>
      <c r="D127" s="32"/>
      <c r="E127" s="168" t="s">
        <v>3053</v>
      </c>
      <c r="F127" s="180">
        <f>(11+6)*3</f>
        <v>51</v>
      </c>
      <c r="G127" s="29"/>
      <c r="H127" s="30"/>
    </row>
    <row r="128" spans="1:8" customFormat="1" ht="15">
      <c r="A128" s="145"/>
      <c r="B128" s="31"/>
      <c r="C128" s="31"/>
      <c r="D128" s="32"/>
      <c r="E128" s="168" t="s">
        <v>2766</v>
      </c>
      <c r="F128" s="170">
        <f>SUM(F126:F127)</f>
        <v>111</v>
      </c>
      <c r="G128" s="29"/>
      <c r="H128" s="30"/>
    </row>
    <row r="129" spans="1:8" customFormat="1" ht="15">
      <c r="A129" s="145"/>
      <c r="B129" s="125"/>
      <c r="C129" s="125"/>
      <c r="D129" s="601"/>
      <c r="E129" s="193"/>
      <c r="F129" s="603"/>
      <c r="G129" s="32"/>
      <c r="H129" s="83"/>
    </row>
    <row r="130" spans="1:8" customFormat="1" ht="15">
      <c r="A130" s="95"/>
      <c r="B130" s="35" t="s">
        <v>621</v>
      </c>
      <c r="C130" s="35"/>
      <c r="D130" s="94"/>
      <c r="E130" s="50" t="s">
        <v>622</v>
      </c>
      <c r="F130" s="100"/>
      <c r="G130" s="97"/>
      <c r="H130" s="42"/>
    </row>
    <row r="131" spans="1:8" customFormat="1" ht="15">
      <c r="A131" s="95"/>
      <c r="B131" s="35"/>
      <c r="C131" s="35"/>
      <c r="D131" s="94"/>
      <c r="E131" s="50"/>
      <c r="F131" s="100"/>
      <c r="G131" s="97"/>
      <c r="H131" s="42"/>
    </row>
    <row r="132" spans="1:8" customFormat="1" ht="15">
      <c r="A132" s="34">
        <f>MAX(A$1:A131)+1</f>
        <v>19</v>
      </c>
      <c r="B132" s="35"/>
      <c r="C132" s="195">
        <v>92010101</v>
      </c>
      <c r="D132" s="196"/>
      <c r="E132" s="38" t="s">
        <v>2852</v>
      </c>
      <c r="F132" s="39"/>
      <c r="G132" s="40" t="s">
        <v>33</v>
      </c>
      <c r="H132" s="64">
        <v>10</v>
      </c>
    </row>
    <row r="133" spans="1:8" customFormat="1" ht="15">
      <c r="A133" s="34"/>
      <c r="B133" s="35"/>
      <c r="C133" s="35"/>
      <c r="D133" s="199">
        <v>9201010104</v>
      </c>
      <c r="E133" s="71" t="s">
        <v>2908</v>
      </c>
      <c r="F133" s="61"/>
      <c r="G133" s="62" t="s">
        <v>33</v>
      </c>
      <c r="H133" s="83">
        <v>10</v>
      </c>
    </row>
    <row r="134" spans="1:8" customFormat="1" ht="25.5">
      <c r="A134" s="34"/>
      <c r="B134" s="35"/>
      <c r="C134" s="35"/>
      <c r="D134" s="199"/>
      <c r="E134" s="168" t="s">
        <v>2980</v>
      </c>
      <c r="F134" s="603">
        <v>4</v>
      </c>
      <c r="G134" s="62"/>
      <c r="H134" s="83"/>
    </row>
    <row r="135" spans="1:8" customFormat="1" ht="25.5">
      <c r="A135" s="34"/>
      <c r="B135" s="35"/>
      <c r="C135" s="35"/>
      <c r="D135" s="199"/>
      <c r="E135" s="168" t="s">
        <v>3036</v>
      </c>
      <c r="F135" s="603">
        <v>2</v>
      </c>
      <c r="G135" s="62"/>
      <c r="H135" s="83"/>
    </row>
    <row r="136" spans="1:8" customFormat="1" ht="25.5">
      <c r="A136" s="34"/>
      <c r="B136" s="35"/>
      <c r="C136" s="35"/>
      <c r="D136" s="94"/>
      <c r="E136" s="168" t="s">
        <v>2982</v>
      </c>
      <c r="F136" s="603">
        <v>1</v>
      </c>
      <c r="G136" s="97"/>
      <c r="H136" s="42"/>
    </row>
    <row r="137" spans="1:8" customFormat="1" ht="15">
      <c r="A137" s="34"/>
      <c r="B137" s="35"/>
      <c r="C137" s="35"/>
      <c r="D137" s="94"/>
      <c r="E137" s="168" t="s">
        <v>3037</v>
      </c>
      <c r="F137" s="603">
        <v>2</v>
      </c>
      <c r="G137" s="97"/>
      <c r="H137" s="42"/>
    </row>
    <row r="138" spans="1:8" customFormat="1" ht="15">
      <c r="A138" s="34"/>
      <c r="B138" s="35"/>
      <c r="C138" s="35"/>
      <c r="D138" s="94"/>
      <c r="E138" s="168" t="s">
        <v>3054</v>
      </c>
      <c r="F138" s="705">
        <v>1</v>
      </c>
      <c r="G138" s="97"/>
      <c r="H138" s="42"/>
    </row>
    <row r="139" spans="1:8" customFormat="1" ht="15">
      <c r="A139" s="34"/>
      <c r="B139" s="35"/>
      <c r="C139" s="35"/>
      <c r="D139" s="94"/>
      <c r="E139" s="168" t="s">
        <v>1130</v>
      </c>
      <c r="F139" s="706">
        <f>SUM(F134:F138)</f>
        <v>10</v>
      </c>
      <c r="G139" s="97"/>
      <c r="H139" s="42"/>
    </row>
    <row r="140" spans="1:8" customFormat="1" ht="15">
      <c r="A140" s="34"/>
      <c r="B140" s="35"/>
      <c r="C140" s="35"/>
      <c r="D140" s="94"/>
      <c r="E140" s="50"/>
      <c r="F140" s="100"/>
      <c r="G140" s="97"/>
      <c r="H140" s="42"/>
    </row>
    <row r="141" spans="1:8" customFormat="1" ht="15">
      <c r="A141" s="34">
        <f>MAX(A$1:A140)+1</f>
        <v>20</v>
      </c>
      <c r="B141" s="35"/>
      <c r="C141" s="195">
        <v>92010109</v>
      </c>
      <c r="D141" s="196"/>
      <c r="E141" s="38" t="s">
        <v>2855</v>
      </c>
      <c r="F141" s="39"/>
      <c r="G141" s="40" t="s">
        <v>33</v>
      </c>
      <c r="H141" s="64">
        <v>7</v>
      </c>
    </row>
    <row r="142" spans="1:8" customFormat="1" ht="15">
      <c r="A142" s="95"/>
      <c r="B142" s="35"/>
      <c r="C142" s="198"/>
      <c r="D142" s="199">
        <v>9201010902</v>
      </c>
      <c r="E142" s="71" t="s">
        <v>2856</v>
      </c>
      <c r="F142" s="61"/>
      <c r="G142" s="62" t="s">
        <v>33</v>
      </c>
      <c r="H142" s="83">
        <v>7</v>
      </c>
    </row>
    <row r="143" spans="1:8" customFormat="1" ht="15">
      <c r="A143" s="95"/>
      <c r="B143" s="35"/>
      <c r="C143" s="125"/>
      <c r="D143" s="601"/>
      <c r="E143" s="168" t="s">
        <v>2986</v>
      </c>
      <c r="F143" s="603">
        <v>7</v>
      </c>
      <c r="G143" s="32"/>
      <c r="H143" s="83"/>
    </row>
    <row r="144" spans="1:8" customFormat="1" ht="15">
      <c r="A144" s="95"/>
      <c r="B144" s="35"/>
      <c r="C144" s="125"/>
      <c r="D144" s="601"/>
      <c r="E144" s="168"/>
      <c r="F144" s="603"/>
      <c r="G144" s="32"/>
      <c r="H144" s="83"/>
    </row>
    <row r="145" spans="1:8" customFormat="1" ht="25.5">
      <c r="A145" s="34">
        <f>MAX(A$1:A144)+1</f>
        <v>21</v>
      </c>
      <c r="B145" s="35"/>
      <c r="C145" s="195">
        <v>92020102</v>
      </c>
      <c r="D145" s="196"/>
      <c r="E145" s="38" t="s">
        <v>756</v>
      </c>
      <c r="F145" s="39"/>
      <c r="G145" s="40" t="s">
        <v>36</v>
      </c>
      <c r="H145" s="64">
        <v>1184</v>
      </c>
    </row>
    <row r="146" spans="1:8" customFormat="1" ht="25.5">
      <c r="A146" s="95"/>
      <c r="B146" s="35"/>
      <c r="C146" s="31"/>
      <c r="D146" s="199">
        <v>9202010205</v>
      </c>
      <c r="E146" s="71" t="s">
        <v>757</v>
      </c>
      <c r="F146" s="61"/>
      <c r="G146" s="62" t="s">
        <v>36</v>
      </c>
      <c r="H146" s="83">
        <v>1184</v>
      </c>
    </row>
    <row r="147" spans="1:8" customFormat="1" ht="15">
      <c r="A147" s="95"/>
      <c r="B147" s="35"/>
      <c r="C147" s="31"/>
      <c r="D147" s="199"/>
      <c r="E147" s="168" t="s">
        <v>1385</v>
      </c>
      <c r="F147" s="170">
        <v>810</v>
      </c>
      <c r="G147" s="62"/>
      <c r="H147" s="83"/>
    </row>
    <row r="148" spans="1:8" customFormat="1" ht="15">
      <c r="A148" s="95"/>
      <c r="B148" s="35"/>
      <c r="C148" s="31"/>
      <c r="D148" s="199"/>
      <c r="E148" s="168" t="s">
        <v>3055</v>
      </c>
      <c r="F148" s="170">
        <v>63</v>
      </c>
      <c r="G148" s="62"/>
      <c r="H148" s="83"/>
    </row>
    <row r="149" spans="1:8" customFormat="1" ht="15">
      <c r="A149" s="95"/>
      <c r="B149" s="35"/>
      <c r="C149" s="31"/>
      <c r="D149" s="32"/>
      <c r="E149" s="168" t="s">
        <v>2987</v>
      </c>
      <c r="F149" s="170">
        <v>62</v>
      </c>
      <c r="G149" s="29"/>
      <c r="H149" s="30"/>
    </row>
    <row r="150" spans="1:8" customFormat="1" ht="15">
      <c r="A150" s="95"/>
      <c r="B150" s="35"/>
      <c r="C150" s="31"/>
      <c r="D150" s="32"/>
      <c r="E150" s="168" t="s">
        <v>2988</v>
      </c>
      <c r="F150" s="170">
        <v>63</v>
      </c>
      <c r="G150" s="29"/>
      <c r="H150" s="30"/>
    </row>
    <row r="151" spans="1:8" customFormat="1" ht="15">
      <c r="A151" s="95"/>
      <c r="B151" s="35"/>
      <c r="C151" s="31"/>
      <c r="D151" s="32"/>
      <c r="E151" s="168" t="s">
        <v>2989</v>
      </c>
      <c r="F151" s="180">
        <v>186</v>
      </c>
      <c r="G151" s="29"/>
      <c r="H151" s="30"/>
    </row>
    <row r="152" spans="1:8" customFormat="1" ht="15">
      <c r="A152" s="95"/>
      <c r="B152" s="35"/>
      <c r="C152" s="31"/>
      <c r="D152" s="32"/>
      <c r="E152" s="168" t="s">
        <v>2766</v>
      </c>
      <c r="F152" s="170">
        <f>SUM(F147:F151)</f>
        <v>1184</v>
      </c>
      <c r="G152" s="29"/>
      <c r="H152" s="30"/>
    </row>
    <row r="153" spans="1:8" customFormat="1" ht="15">
      <c r="A153" s="95"/>
      <c r="B153" s="35"/>
      <c r="C153" s="125"/>
      <c r="D153" s="601"/>
      <c r="E153" s="168"/>
      <c r="F153" s="603"/>
      <c r="G153" s="32"/>
      <c r="H153" s="83"/>
    </row>
    <row r="154" spans="1:8" customFormat="1" ht="25.5">
      <c r="A154" s="34">
        <f>MAX(A$1:A153)+1</f>
        <v>22</v>
      </c>
      <c r="B154" s="125"/>
      <c r="C154" s="195">
        <v>92020105</v>
      </c>
      <c r="D154" s="196"/>
      <c r="E154" s="38" t="s">
        <v>2768</v>
      </c>
      <c r="F154" s="39"/>
      <c r="G154" s="40" t="s">
        <v>36</v>
      </c>
      <c r="H154" s="64">
        <v>108.5</v>
      </c>
    </row>
    <row r="155" spans="1:8" customFormat="1" ht="25.5">
      <c r="A155" s="34"/>
      <c r="B155" s="125"/>
      <c r="C155" s="125"/>
      <c r="D155" s="199">
        <v>9202010510</v>
      </c>
      <c r="E155" s="71" t="s">
        <v>2912</v>
      </c>
      <c r="F155" s="61"/>
      <c r="G155" s="62" t="s">
        <v>36</v>
      </c>
      <c r="H155" s="83">
        <v>108.5</v>
      </c>
    </row>
    <row r="156" spans="1:8" customFormat="1" ht="15">
      <c r="A156" s="34"/>
      <c r="B156" s="125"/>
      <c r="C156" s="125"/>
      <c r="D156" s="199"/>
      <c r="E156" s="168" t="s">
        <v>2990</v>
      </c>
      <c r="F156" s="603">
        <v>4</v>
      </c>
      <c r="G156" s="62"/>
      <c r="H156" s="83"/>
    </row>
    <row r="157" spans="1:8" customFormat="1" ht="15">
      <c r="A157" s="34"/>
      <c r="B157" s="125"/>
      <c r="C157" s="125"/>
      <c r="D157" s="601"/>
      <c r="E157" s="168" t="s">
        <v>2913</v>
      </c>
      <c r="F157" s="603">
        <v>98.5</v>
      </c>
      <c r="G157" s="32"/>
      <c r="H157" s="83"/>
    </row>
    <row r="158" spans="1:8" customFormat="1" ht="15">
      <c r="A158" s="34"/>
      <c r="B158" s="125"/>
      <c r="C158" s="125"/>
      <c r="D158" s="601"/>
      <c r="E158" s="168" t="s">
        <v>2991</v>
      </c>
      <c r="F158" s="705">
        <v>6</v>
      </c>
      <c r="G158" s="32"/>
      <c r="H158" s="83"/>
    </row>
    <row r="159" spans="1:8" customFormat="1" ht="15">
      <c r="A159" s="34"/>
      <c r="B159" s="125"/>
      <c r="C159" s="125"/>
      <c r="D159" s="601"/>
      <c r="E159" s="168" t="s">
        <v>2766</v>
      </c>
      <c r="F159" s="170">
        <f>SUM(F156:F158)</f>
        <v>108.5</v>
      </c>
      <c r="G159" s="32"/>
      <c r="H159" s="83"/>
    </row>
    <row r="160" spans="1:8" customFormat="1" ht="15">
      <c r="A160" s="34"/>
      <c r="B160" s="125"/>
      <c r="C160" s="125"/>
      <c r="D160" s="601"/>
      <c r="E160" s="193"/>
      <c r="F160" s="603"/>
      <c r="G160" s="32"/>
      <c r="H160" s="83"/>
    </row>
    <row r="161" spans="1:8" customFormat="1" ht="25.5">
      <c r="A161" s="34">
        <f>MAX(A$1:A160)+1</f>
        <v>23</v>
      </c>
      <c r="B161" s="43"/>
      <c r="C161" s="195">
        <v>92020301</v>
      </c>
      <c r="D161" s="196"/>
      <c r="E161" s="38" t="s">
        <v>476</v>
      </c>
      <c r="F161" s="39"/>
      <c r="G161" s="40" t="s">
        <v>33</v>
      </c>
      <c r="H161" s="64">
        <v>87</v>
      </c>
    </row>
    <row r="162" spans="1:8" customFormat="1" ht="25.5">
      <c r="A162" s="34"/>
      <c r="B162" s="43"/>
      <c r="C162" s="195"/>
      <c r="D162" s="199">
        <v>9202030101</v>
      </c>
      <c r="E162" s="71" t="s">
        <v>477</v>
      </c>
      <c r="F162" s="61"/>
      <c r="G162" s="62" t="s">
        <v>33</v>
      </c>
      <c r="H162" s="83">
        <v>1</v>
      </c>
    </row>
    <row r="163" spans="1:8" customFormat="1" ht="15">
      <c r="A163" s="34"/>
      <c r="B163" s="43"/>
      <c r="C163" s="195"/>
      <c r="D163" s="199"/>
      <c r="E163" s="168" t="s">
        <v>2992</v>
      </c>
      <c r="F163" s="603">
        <v>1</v>
      </c>
      <c r="G163" s="62"/>
      <c r="H163" s="64"/>
    </row>
    <row r="164" spans="1:8">
      <c r="A164" s="34"/>
      <c r="B164" s="43"/>
      <c r="C164" s="195"/>
      <c r="D164" s="196"/>
      <c r="E164" s="38"/>
      <c r="F164" s="39"/>
      <c r="G164" s="40"/>
      <c r="H164" s="64"/>
    </row>
    <row r="165" spans="1:8" ht="25.5">
      <c r="A165" s="72"/>
      <c r="B165" s="73"/>
      <c r="C165" s="198"/>
      <c r="D165" s="199">
        <v>9202030102</v>
      </c>
      <c r="E165" s="71" t="s">
        <v>490</v>
      </c>
      <c r="F165" s="61"/>
      <c r="G165" s="62" t="s">
        <v>33</v>
      </c>
      <c r="H165" s="83">
        <v>86</v>
      </c>
    </row>
    <row r="166" spans="1:8">
      <c r="A166" s="34"/>
      <c r="B166" s="125"/>
      <c r="C166" s="125"/>
      <c r="D166" s="601"/>
      <c r="E166" s="168" t="s">
        <v>2914</v>
      </c>
      <c r="F166" s="603">
        <v>28</v>
      </c>
      <c r="G166" s="32"/>
      <c r="H166" s="83"/>
    </row>
    <row r="167" spans="1:8">
      <c r="A167" s="34"/>
      <c r="B167" s="125"/>
      <c r="C167" s="125"/>
      <c r="D167" s="601"/>
      <c r="E167" s="168" t="s">
        <v>3056</v>
      </c>
      <c r="F167" s="603">
        <v>4</v>
      </c>
      <c r="G167" s="32"/>
      <c r="H167" s="83"/>
    </row>
    <row r="168" spans="1:8">
      <c r="A168" s="34"/>
      <c r="B168" s="125"/>
      <c r="C168" s="125"/>
      <c r="D168" s="601"/>
      <c r="E168" s="168" t="s">
        <v>2993</v>
      </c>
      <c r="F168" s="603">
        <v>14</v>
      </c>
      <c r="G168" s="32"/>
      <c r="H168" s="83"/>
    </row>
    <row r="169" spans="1:8">
      <c r="A169" s="34"/>
      <c r="B169" s="125"/>
      <c r="C169" s="125"/>
      <c r="D169" s="601"/>
      <c r="E169" s="168" t="s">
        <v>2915</v>
      </c>
      <c r="F169" s="603">
        <v>4</v>
      </c>
      <c r="G169" s="32"/>
      <c r="H169" s="83"/>
    </row>
    <row r="170" spans="1:8">
      <c r="A170" s="34"/>
      <c r="B170" s="125"/>
      <c r="C170" s="125"/>
      <c r="D170" s="601"/>
      <c r="E170" s="168" t="s">
        <v>2994</v>
      </c>
      <c r="F170" s="603">
        <v>8</v>
      </c>
      <c r="G170" s="32"/>
      <c r="H170" s="83"/>
    </row>
    <row r="171" spans="1:8">
      <c r="A171" s="34"/>
      <c r="B171" s="125"/>
      <c r="C171" s="125"/>
      <c r="D171" s="601"/>
      <c r="E171" s="168" t="s">
        <v>2995</v>
      </c>
      <c r="F171" s="705">
        <v>28</v>
      </c>
      <c r="G171" s="32"/>
      <c r="H171" s="83"/>
    </row>
    <row r="172" spans="1:8">
      <c r="A172" s="34"/>
      <c r="B172" s="125"/>
      <c r="C172" s="125"/>
      <c r="D172" s="601"/>
      <c r="E172" s="168" t="s">
        <v>1130</v>
      </c>
      <c r="F172" s="706">
        <f>SUM(F166:F171)</f>
        <v>86</v>
      </c>
      <c r="G172" s="32"/>
      <c r="H172" s="83"/>
    </row>
    <row r="173" spans="1:8">
      <c r="A173" s="34"/>
      <c r="B173" s="125"/>
      <c r="C173" s="125"/>
      <c r="D173" s="601"/>
      <c r="E173" s="168"/>
      <c r="F173" s="603"/>
      <c r="G173" s="32"/>
      <c r="H173" s="83"/>
    </row>
    <row r="174" spans="1:8" ht="25.5">
      <c r="A174" s="34">
        <f>MAX(A$1:A173)+1</f>
        <v>24</v>
      </c>
      <c r="B174" s="43"/>
      <c r="C174" s="195">
        <v>92020702</v>
      </c>
      <c r="D174" s="196"/>
      <c r="E174" s="38" t="s">
        <v>718</v>
      </c>
      <c r="F174" s="39"/>
      <c r="G174" s="40" t="s">
        <v>33</v>
      </c>
      <c r="H174" s="64">
        <v>108</v>
      </c>
    </row>
    <row r="175" spans="1:8" ht="25.5">
      <c r="A175" s="72"/>
      <c r="B175" s="73"/>
      <c r="C175" s="198"/>
      <c r="D175" s="199">
        <v>9202070202</v>
      </c>
      <c r="E175" s="71" t="s">
        <v>719</v>
      </c>
      <c r="F175" s="61"/>
      <c r="G175" s="62" t="s">
        <v>33</v>
      </c>
      <c r="H175" s="83">
        <v>108</v>
      </c>
    </row>
    <row r="176" spans="1:8">
      <c r="A176" s="34"/>
      <c r="B176" s="125"/>
      <c r="C176" s="125"/>
      <c r="D176" s="601"/>
      <c r="E176" s="168" t="s">
        <v>1386</v>
      </c>
      <c r="F176" s="603">
        <v>108</v>
      </c>
      <c r="G176" s="32"/>
      <c r="H176" s="83"/>
    </row>
    <row r="177" spans="1:8">
      <c r="A177" s="34"/>
      <c r="B177" s="125"/>
      <c r="C177" s="125"/>
      <c r="D177" s="601"/>
      <c r="E177" s="193"/>
      <c r="F177" s="603"/>
      <c r="G177" s="32"/>
      <c r="H177" s="83"/>
    </row>
    <row r="178" spans="1:8" ht="25.5">
      <c r="A178" s="34">
        <f>MAX(A$1:A177)+1</f>
        <v>25</v>
      </c>
      <c r="B178" s="125"/>
      <c r="C178" s="195">
        <v>92022501</v>
      </c>
      <c r="D178" s="196"/>
      <c r="E178" s="38" t="s">
        <v>478</v>
      </c>
      <c r="F178" s="39"/>
      <c r="G178" s="40" t="s">
        <v>33</v>
      </c>
      <c r="H178" s="64">
        <v>102</v>
      </c>
    </row>
    <row r="179" spans="1:8" ht="25.5">
      <c r="A179" s="34"/>
      <c r="B179" s="125"/>
      <c r="C179" s="195"/>
      <c r="D179" s="199">
        <v>9202250101</v>
      </c>
      <c r="E179" s="71" t="s">
        <v>758</v>
      </c>
      <c r="F179" s="61"/>
      <c r="G179" s="62" t="s">
        <v>33</v>
      </c>
      <c r="H179" s="83">
        <v>5</v>
      </c>
    </row>
    <row r="180" spans="1:8">
      <c r="A180" s="34"/>
      <c r="B180" s="125"/>
      <c r="C180" s="195"/>
      <c r="D180" s="199"/>
      <c r="E180" s="168" t="s">
        <v>2996</v>
      </c>
      <c r="F180" s="603">
        <v>1</v>
      </c>
      <c r="G180" s="62"/>
      <c r="H180" s="83"/>
    </row>
    <row r="181" spans="1:8">
      <c r="A181" s="34"/>
      <c r="B181" s="125"/>
      <c r="C181" s="195"/>
      <c r="D181" s="199"/>
      <c r="E181" s="168" t="s">
        <v>3057</v>
      </c>
      <c r="F181" s="603">
        <v>1</v>
      </c>
      <c r="G181" s="62"/>
      <c r="H181" s="83"/>
    </row>
    <row r="182" spans="1:8">
      <c r="A182" s="34"/>
      <c r="B182" s="125"/>
      <c r="C182" s="195"/>
      <c r="D182" s="199"/>
      <c r="E182" s="168" t="s">
        <v>2997</v>
      </c>
      <c r="F182" s="603">
        <v>1</v>
      </c>
      <c r="G182" s="62"/>
      <c r="H182" s="83"/>
    </row>
    <row r="183" spans="1:8">
      <c r="A183" s="34"/>
      <c r="B183" s="125"/>
      <c r="C183" s="195"/>
      <c r="D183" s="199"/>
      <c r="E183" s="168" t="s">
        <v>2998</v>
      </c>
      <c r="F183" s="603">
        <v>1</v>
      </c>
      <c r="G183" s="62"/>
      <c r="H183" s="83"/>
    </row>
    <row r="184" spans="1:8">
      <c r="A184" s="34"/>
      <c r="B184" s="125"/>
      <c r="C184" s="195"/>
      <c r="D184" s="199"/>
      <c r="E184" s="168" t="s">
        <v>2999</v>
      </c>
      <c r="F184" s="705">
        <v>1</v>
      </c>
      <c r="G184" s="62"/>
      <c r="H184" s="83"/>
    </row>
    <row r="185" spans="1:8">
      <c r="A185" s="34"/>
      <c r="B185" s="125"/>
      <c r="C185" s="195"/>
      <c r="D185" s="199"/>
      <c r="E185" s="168" t="s">
        <v>1130</v>
      </c>
      <c r="F185" s="706">
        <f>SUM(F180:F184)</f>
        <v>5</v>
      </c>
      <c r="G185" s="62"/>
      <c r="H185" s="83"/>
    </row>
    <row r="186" spans="1:8" ht="25.5">
      <c r="A186" s="34"/>
      <c r="B186" s="125"/>
      <c r="C186" s="195"/>
      <c r="D186" s="199">
        <v>9202250102</v>
      </c>
      <c r="E186" s="71" t="s">
        <v>479</v>
      </c>
      <c r="F186" s="61"/>
      <c r="G186" s="62" t="s">
        <v>33</v>
      </c>
      <c r="H186" s="83">
        <v>25</v>
      </c>
    </row>
    <row r="187" spans="1:8">
      <c r="A187" s="34"/>
      <c r="B187" s="125"/>
      <c r="C187" s="195"/>
      <c r="D187" s="199"/>
      <c r="E187" s="168" t="s">
        <v>1385</v>
      </c>
      <c r="F187" s="603">
        <v>14</v>
      </c>
      <c r="G187" s="62"/>
      <c r="H187" s="83"/>
    </row>
    <row r="188" spans="1:8">
      <c r="A188" s="34"/>
      <c r="B188" s="125"/>
      <c r="C188" s="195"/>
      <c r="D188" s="199"/>
      <c r="E188" s="168" t="s">
        <v>3055</v>
      </c>
      <c r="F188" s="603">
        <v>2</v>
      </c>
      <c r="G188" s="62"/>
      <c r="H188" s="83"/>
    </row>
    <row r="189" spans="1:8">
      <c r="A189" s="34"/>
      <c r="B189" s="125"/>
      <c r="C189" s="195"/>
      <c r="D189" s="199"/>
      <c r="E189" s="168" t="s">
        <v>2987</v>
      </c>
      <c r="F189" s="603">
        <v>3</v>
      </c>
      <c r="G189" s="62"/>
      <c r="H189" s="83"/>
    </row>
    <row r="190" spans="1:8">
      <c r="A190" s="34"/>
      <c r="B190" s="125"/>
      <c r="C190" s="195"/>
      <c r="D190" s="199"/>
      <c r="E190" s="168" t="s">
        <v>2988</v>
      </c>
      <c r="F190" s="603">
        <v>2</v>
      </c>
      <c r="G190" s="62"/>
      <c r="H190" s="83"/>
    </row>
    <row r="191" spans="1:8">
      <c r="A191" s="34"/>
      <c r="B191" s="125"/>
      <c r="C191" s="195"/>
      <c r="D191" s="199"/>
      <c r="E191" s="168" t="s">
        <v>2989</v>
      </c>
      <c r="F191" s="705">
        <v>4</v>
      </c>
      <c r="G191" s="62"/>
      <c r="H191" s="83"/>
    </row>
    <row r="192" spans="1:8">
      <c r="A192" s="34"/>
      <c r="B192" s="125"/>
      <c r="C192" s="195"/>
      <c r="D192" s="199"/>
      <c r="E192" s="168" t="s">
        <v>1130</v>
      </c>
      <c r="F192" s="706">
        <f>SUM(F187:F191)</f>
        <v>25</v>
      </c>
      <c r="G192" s="62"/>
      <c r="H192" s="83"/>
    </row>
    <row r="193" spans="1:8" ht="25.5">
      <c r="A193" s="34"/>
      <c r="B193" s="125"/>
      <c r="C193" s="125"/>
      <c r="D193" s="199">
        <v>9202250104</v>
      </c>
      <c r="E193" s="71" t="s">
        <v>722</v>
      </c>
      <c r="F193" s="61"/>
      <c r="G193" s="62" t="s">
        <v>33</v>
      </c>
      <c r="H193" s="83">
        <v>22</v>
      </c>
    </row>
    <row r="194" spans="1:8">
      <c r="A194" s="34"/>
      <c r="B194" s="125"/>
      <c r="C194" s="125"/>
      <c r="D194" s="199"/>
      <c r="E194" s="168" t="s">
        <v>3000</v>
      </c>
      <c r="F194" s="603">
        <v>22</v>
      </c>
      <c r="G194" s="62"/>
      <c r="H194" s="83"/>
    </row>
    <row r="195" spans="1:8" ht="25.5">
      <c r="A195" s="34"/>
      <c r="B195" s="125"/>
      <c r="C195" s="125"/>
      <c r="D195" s="199">
        <v>9202250111</v>
      </c>
      <c r="E195" s="71" t="s">
        <v>743</v>
      </c>
      <c r="F195" s="61"/>
      <c r="G195" s="62" t="s">
        <v>33</v>
      </c>
      <c r="H195" s="83">
        <v>50</v>
      </c>
    </row>
    <row r="196" spans="1:8">
      <c r="A196" s="34"/>
      <c r="B196" s="125"/>
      <c r="C196" s="125"/>
      <c r="D196" s="199"/>
      <c r="E196" s="168" t="s">
        <v>3001</v>
      </c>
      <c r="F196" s="603">
        <v>28</v>
      </c>
      <c r="G196" s="62"/>
      <c r="H196" s="83"/>
    </row>
    <row r="197" spans="1:8">
      <c r="A197" s="34"/>
      <c r="B197" s="125"/>
      <c r="C197" s="125"/>
      <c r="D197" s="199"/>
      <c r="E197" s="168" t="s">
        <v>3058</v>
      </c>
      <c r="F197" s="603">
        <v>4</v>
      </c>
      <c r="G197" s="62"/>
      <c r="H197" s="83"/>
    </row>
    <row r="198" spans="1:8">
      <c r="A198" s="34"/>
      <c r="B198" s="125"/>
      <c r="C198" s="125"/>
      <c r="D198" s="199"/>
      <c r="E198" s="168" t="s">
        <v>3002</v>
      </c>
      <c r="F198" s="603">
        <v>6</v>
      </c>
      <c r="G198" s="62"/>
      <c r="H198" s="83"/>
    </row>
    <row r="199" spans="1:8">
      <c r="A199" s="34"/>
      <c r="B199" s="125"/>
      <c r="C199" s="125"/>
      <c r="D199" s="199"/>
      <c r="E199" s="168" t="s">
        <v>3003</v>
      </c>
      <c r="F199" s="603">
        <v>4</v>
      </c>
      <c r="G199" s="62"/>
      <c r="H199" s="83"/>
    </row>
    <row r="200" spans="1:8">
      <c r="A200" s="34"/>
      <c r="B200" s="125"/>
      <c r="C200" s="125"/>
      <c r="D200" s="199"/>
      <c r="E200" s="168" t="s">
        <v>3004</v>
      </c>
      <c r="F200" s="705">
        <v>8</v>
      </c>
      <c r="G200" s="62"/>
      <c r="H200" s="83"/>
    </row>
    <row r="201" spans="1:8">
      <c r="A201" s="34"/>
      <c r="B201" s="125"/>
      <c r="C201" s="125"/>
      <c r="D201" s="601"/>
      <c r="E201" s="168" t="s">
        <v>1130</v>
      </c>
      <c r="F201" s="706">
        <f>SUM(F196:F200)</f>
        <v>50</v>
      </c>
      <c r="G201" s="32"/>
      <c r="H201" s="83"/>
    </row>
    <row r="202" spans="1:8">
      <c r="A202" s="34"/>
      <c r="B202" s="125"/>
      <c r="C202" s="125"/>
      <c r="D202" s="199"/>
      <c r="E202" s="168"/>
      <c r="F202" s="603"/>
      <c r="G202" s="62"/>
      <c r="H202" s="83"/>
    </row>
    <row r="203" spans="1:8" ht="25.5">
      <c r="A203" s="34">
        <f>MAX(A$1:A202)+1</f>
        <v>26</v>
      </c>
      <c r="B203" s="43"/>
      <c r="C203" s="195">
        <v>92022705</v>
      </c>
      <c r="D203" s="196"/>
      <c r="E203" s="38" t="s">
        <v>2784</v>
      </c>
      <c r="F203" s="39"/>
      <c r="G203" s="40" t="s">
        <v>33</v>
      </c>
      <c r="H203" s="64">
        <v>17</v>
      </c>
    </row>
    <row r="204" spans="1:8" ht="25.5">
      <c r="A204" s="72"/>
      <c r="B204" s="73"/>
      <c r="C204" s="198"/>
      <c r="D204" s="198">
        <v>9202270506</v>
      </c>
      <c r="E204" s="71" t="s">
        <v>2785</v>
      </c>
      <c r="F204" s="61"/>
      <c r="G204" s="62" t="s">
        <v>33</v>
      </c>
      <c r="H204" s="83">
        <v>17</v>
      </c>
    </row>
    <row r="205" spans="1:8">
      <c r="A205" s="34"/>
      <c r="B205" s="125"/>
      <c r="C205" s="125"/>
      <c r="D205" s="601"/>
      <c r="E205" s="168" t="s">
        <v>3005</v>
      </c>
      <c r="F205" s="603">
        <v>2</v>
      </c>
      <c r="G205" s="32"/>
      <c r="H205" s="83"/>
    </row>
    <row r="206" spans="1:8">
      <c r="A206" s="34"/>
      <c r="B206" s="125"/>
      <c r="C206" s="125"/>
      <c r="D206" s="601"/>
      <c r="E206" s="168" t="s">
        <v>2866</v>
      </c>
      <c r="F206" s="603">
        <v>7</v>
      </c>
      <c r="G206" s="32"/>
      <c r="H206" s="83"/>
    </row>
    <row r="207" spans="1:8">
      <c r="A207" s="34"/>
      <c r="B207" s="125"/>
      <c r="C207" s="125"/>
      <c r="D207" s="601"/>
      <c r="E207" s="168" t="s">
        <v>2787</v>
      </c>
      <c r="F207" s="705">
        <v>8</v>
      </c>
      <c r="G207" s="32"/>
      <c r="H207" s="83"/>
    </row>
    <row r="208" spans="1:8">
      <c r="A208" s="34"/>
      <c r="B208" s="125"/>
      <c r="C208" s="125"/>
      <c r="D208" s="601"/>
      <c r="E208" s="168" t="s">
        <v>1130</v>
      </c>
      <c r="F208" s="706">
        <f>SUM(F205:F207)</f>
        <v>17</v>
      </c>
      <c r="G208" s="32"/>
      <c r="H208" s="83"/>
    </row>
    <row r="209" spans="1:8">
      <c r="A209" s="34"/>
      <c r="B209" s="125"/>
      <c r="C209" s="125"/>
      <c r="D209" s="601"/>
      <c r="E209" s="193"/>
      <c r="F209" s="603"/>
      <c r="G209" s="32"/>
      <c r="H209" s="83"/>
    </row>
    <row r="210" spans="1:8" ht="25.5">
      <c r="A210" s="34">
        <f>MAX(A$1:A209)+1</f>
        <v>27</v>
      </c>
      <c r="B210" s="1259"/>
      <c r="C210" s="195">
        <v>92022801</v>
      </c>
      <c r="D210" s="196"/>
      <c r="E210" s="38" t="s">
        <v>2867</v>
      </c>
      <c r="F210" s="39"/>
      <c r="G210" s="40" t="s">
        <v>36</v>
      </c>
      <c r="H210" s="64">
        <v>91</v>
      </c>
    </row>
    <row r="211" spans="1:8" ht="25.5">
      <c r="A211" s="34"/>
      <c r="B211" s="1259"/>
      <c r="C211" s="195"/>
      <c r="D211" s="199">
        <v>9202280101</v>
      </c>
      <c r="E211" s="71" t="s">
        <v>3006</v>
      </c>
      <c r="F211" s="61"/>
      <c r="G211" s="62" t="s">
        <v>36</v>
      </c>
      <c r="H211" s="83">
        <v>87</v>
      </c>
    </row>
    <row r="212" spans="1:8">
      <c r="A212" s="34"/>
      <c r="B212" s="1259"/>
      <c r="C212" s="195"/>
      <c r="D212" s="196"/>
      <c r="E212" s="168" t="s">
        <v>3007</v>
      </c>
      <c r="F212" s="603">
        <v>87</v>
      </c>
      <c r="G212" s="40"/>
      <c r="H212" s="83"/>
    </row>
    <row r="213" spans="1:8" ht="25.5">
      <c r="A213" s="34"/>
      <c r="B213" s="1259"/>
      <c r="C213" s="198"/>
      <c r="D213" s="199">
        <v>9202280104</v>
      </c>
      <c r="E213" s="71" t="s">
        <v>2868</v>
      </c>
      <c r="F213" s="61"/>
      <c r="G213" s="62" t="s">
        <v>33</v>
      </c>
      <c r="H213" s="83">
        <v>4</v>
      </c>
    </row>
    <row r="214" spans="1:8">
      <c r="A214" s="34"/>
      <c r="B214" s="1259"/>
      <c r="C214" s="125"/>
      <c r="D214" s="601"/>
      <c r="E214" s="168" t="s">
        <v>2870</v>
      </c>
      <c r="F214" s="603">
        <v>4</v>
      </c>
      <c r="G214" s="32"/>
      <c r="H214" s="83"/>
    </row>
    <row r="215" spans="1:8">
      <c r="A215" s="34"/>
      <c r="B215" s="1259"/>
      <c r="C215" s="125"/>
      <c r="D215" s="601"/>
      <c r="E215" s="193"/>
      <c r="F215" s="603"/>
      <c r="G215" s="32"/>
      <c r="H215" s="83"/>
    </row>
    <row r="216" spans="1:8" ht="25.5">
      <c r="A216" s="34">
        <f>MAX(A$1:A215)+1</f>
        <v>28</v>
      </c>
      <c r="B216" s="1259"/>
      <c r="C216" s="195">
        <v>92050305</v>
      </c>
      <c r="D216" s="196"/>
      <c r="E216" s="38" t="s">
        <v>3008</v>
      </c>
      <c r="F216" s="39"/>
      <c r="G216" s="40" t="s">
        <v>33</v>
      </c>
      <c r="H216" s="64">
        <v>11</v>
      </c>
    </row>
    <row r="217" spans="1:8" ht="25.5">
      <c r="A217" s="34"/>
      <c r="B217" s="1259"/>
      <c r="C217" s="195"/>
      <c r="D217" s="199">
        <v>9205030501</v>
      </c>
      <c r="E217" s="71" t="s">
        <v>3009</v>
      </c>
      <c r="F217" s="61"/>
      <c r="G217" s="62" t="s">
        <v>33</v>
      </c>
      <c r="H217" s="83">
        <v>4</v>
      </c>
    </row>
    <row r="218" spans="1:8">
      <c r="A218" s="34"/>
      <c r="B218" s="1259"/>
      <c r="C218" s="195"/>
      <c r="D218" s="196"/>
      <c r="E218" s="168" t="s">
        <v>3010</v>
      </c>
      <c r="F218" s="603">
        <v>4</v>
      </c>
      <c r="G218" s="40"/>
      <c r="H218" s="64"/>
    </row>
    <row r="219" spans="1:8" ht="25.5">
      <c r="A219" s="34"/>
      <c r="B219" s="1259"/>
      <c r="C219" s="125"/>
      <c r="D219" s="198">
        <v>9205030508</v>
      </c>
      <c r="E219" s="71" t="s">
        <v>3011</v>
      </c>
      <c r="F219" s="61"/>
      <c r="G219" s="62" t="s">
        <v>33</v>
      </c>
      <c r="H219" s="83">
        <v>7</v>
      </c>
    </row>
    <row r="220" spans="1:8">
      <c r="A220" s="34"/>
      <c r="B220" s="1259"/>
      <c r="C220" s="125"/>
      <c r="D220" s="601"/>
      <c r="E220" s="168" t="s">
        <v>3012</v>
      </c>
      <c r="F220" s="603">
        <v>7</v>
      </c>
      <c r="G220" s="32"/>
      <c r="H220" s="83"/>
    </row>
    <row r="221" spans="1:8">
      <c r="A221" s="34"/>
      <c r="B221" s="1259"/>
      <c r="C221" s="125"/>
      <c r="D221" s="601"/>
      <c r="E221" s="193"/>
      <c r="F221" s="603"/>
      <c r="G221" s="32"/>
      <c r="H221" s="83"/>
    </row>
    <row r="222" spans="1:8" ht="25.5">
      <c r="A222" s="34">
        <f>MAX(A$1:A221)+1</f>
        <v>29</v>
      </c>
      <c r="B222" s="1259"/>
      <c r="C222" s="36" t="s">
        <v>2920</v>
      </c>
      <c r="D222" s="37"/>
      <c r="E222" s="38" t="s">
        <v>2921</v>
      </c>
      <c r="F222" s="39"/>
      <c r="G222" s="40" t="s">
        <v>33</v>
      </c>
      <c r="H222" s="64">
        <v>15</v>
      </c>
    </row>
    <row r="223" spans="1:8" ht="25.5">
      <c r="A223" s="34"/>
      <c r="B223" s="1259"/>
      <c r="C223" s="66"/>
      <c r="D223" s="67" t="s">
        <v>2922</v>
      </c>
      <c r="E223" s="71" t="s">
        <v>2923</v>
      </c>
      <c r="F223" s="61"/>
      <c r="G223" s="62" t="s">
        <v>33</v>
      </c>
      <c r="H223" s="1260">
        <v>14</v>
      </c>
    </row>
    <row r="224" spans="1:8">
      <c r="A224" s="34"/>
      <c r="B224" s="1259"/>
      <c r="C224" s="125"/>
      <c r="D224" s="1261"/>
      <c r="E224" s="168" t="s">
        <v>3013</v>
      </c>
      <c r="F224" s="603">
        <v>1</v>
      </c>
      <c r="G224" s="32"/>
      <c r="H224" s="1260"/>
    </row>
    <row r="225" spans="1:8">
      <c r="A225" s="34"/>
      <c r="B225" s="1259"/>
      <c r="C225" s="125"/>
      <c r="D225" s="1261"/>
      <c r="E225" s="168" t="s">
        <v>3014</v>
      </c>
      <c r="F225" s="603">
        <v>4</v>
      </c>
      <c r="G225" s="32"/>
      <c r="H225" s="1260"/>
    </row>
    <row r="226" spans="1:8">
      <c r="A226" s="34"/>
      <c r="B226" s="1259"/>
      <c r="C226" s="125"/>
      <c r="D226" s="1261"/>
      <c r="E226" s="168" t="s">
        <v>3015</v>
      </c>
      <c r="F226" s="603">
        <v>5</v>
      </c>
      <c r="G226" s="32"/>
      <c r="H226" s="1260"/>
    </row>
    <row r="227" spans="1:8" ht="25.5">
      <c r="A227" s="34"/>
      <c r="B227" s="1259"/>
      <c r="C227" s="125"/>
      <c r="D227" s="1261"/>
      <c r="E227" s="168" t="s">
        <v>3016</v>
      </c>
      <c r="F227" s="705">
        <v>4</v>
      </c>
      <c r="G227" s="32"/>
      <c r="H227" s="1260"/>
    </row>
    <row r="228" spans="1:8">
      <c r="A228" s="34"/>
      <c r="B228" s="1259"/>
      <c r="C228" s="125"/>
      <c r="D228" s="1261"/>
      <c r="E228" s="168" t="s">
        <v>1130</v>
      </c>
      <c r="F228" s="706">
        <f>SUM(F224:F227)</f>
        <v>14</v>
      </c>
      <c r="G228" s="32"/>
      <c r="H228" s="1260"/>
    </row>
    <row r="229" spans="1:8" ht="25.5">
      <c r="A229" s="34"/>
      <c r="B229" s="1259"/>
      <c r="C229" s="125"/>
      <c r="D229" s="67" t="s">
        <v>3018</v>
      </c>
      <c r="E229" s="71" t="s">
        <v>3019</v>
      </c>
      <c r="F229" s="61"/>
      <c r="G229" s="62" t="s">
        <v>33</v>
      </c>
      <c r="H229" s="1260">
        <v>1</v>
      </c>
    </row>
    <row r="230" spans="1:8">
      <c r="A230" s="34"/>
      <c r="B230" s="1259"/>
      <c r="C230" s="125"/>
      <c r="D230" s="1261"/>
      <c r="E230" s="168" t="s">
        <v>3020</v>
      </c>
      <c r="F230" s="603">
        <v>1</v>
      </c>
      <c r="G230" s="32"/>
      <c r="H230" s="1260"/>
    </row>
    <row r="231" spans="1:8">
      <c r="A231" s="34"/>
      <c r="B231" s="1259"/>
      <c r="C231" s="125"/>
      <c r="D231" s="1261"/>
      <c r="E231" s="168"/>
      <c r="F231" s="603"/>
      <c r="G231" s="32"/>
      <c r="H231" s="1260"/>
    </row>
    <row r="232" spans="1:8" ht="25.5">
      <c r="A232" s="34">
        <f>MAX(A$1:A231)+1</f>
        <v>30</v>
      </c>
      <c r="B232" s="1259"/>
      <c r="C232" s="36" t="s">
        <v>2928</v>
      </c>
      <c r="D232" s="37"/>
      <c r="E232" s="38" t="s">
        <v>2929</v>
      </c>
      <c r="F232" s="39"/>
      <c r="G232" s="40" t="s">
        <v>33</v>
      </c>
      <c r="H232" s="64">
        <v>8</v>
      </c>
    </row>
    <row r="233" spans="1:8" ht="38.25">
      <c r="A233" s="34"/>
      <c r="B233" s="1259"/>
      <c r="C233" s="125"/>
      <c r="D233" s="67" t="s">
        <v>2930</v>
      </c>
      <c r="E233" s="71" t="s">
        <v>2931</v>
      </c>
      <c r="F233" s="61"/>
      <c r="G233" s="62" t="s">
        <v>33</v>
      </c>
      <c r="H233" s="1260">
        <v>8</v>
      </c>
    </row>
    <row r="234" spans="1:8">
      <c r="A234" s="34"/>
      <c r="B234" s="1259"/>
      <c r="C234" s="125"/>
      <c r="D234" s="1261"/>
      <c r="E234" s="168" t="s">
        <v>2932</v>
      </c>
      <c r="F234" s="603">
        <v>7</v>
      </c>
      <c r="G234" s="32"/>
      <c r="H234" s="1260"/>
    </row>
    <row r="235" spans="1:8">
      <c r="A235" s="34"/>
      <c r="B235" s="1259"/>
      <c r="C235" s="125"/>
      <c r="D235" s="1261"/>
      <c r="E235" s="168" t="s">
        <v>2933</v>
      </c>
      <c r="F235" s="705">
        <v>1</v>
      </c>
      <c r="G235" s="32"/>
      <c r="H235" s="1260"/>
    </row>
    <row r="236" spans="1:8">
      <c r="A236" s="34"/>
      <c r="B236" s="1259"/>
      <c r="C236" s="125"/>
      <c r="D236" s="1261"/>
      <c r="E236" s="168" t="s">
        <v>1130</v>
      </c>
      <c r="F236" s="706">
        <f>SUM(F234:F235)</f>
        <v>8</v>
      </c>
      <c r="G236" s="32"/>
      <c r="H236" s="1260"/>
    </row>
    <row r="237" spans="1:8">
      <c r="A237" s="34"/>
      <c r="B237" s="43"/>
      <c r="C237" s="36"/>
      <c r="D237" s="37"/>
      <c r="E237" s="38"/>
      <c r="F237" s="46"/>
      <c r="G237" s="40"/>
      <c r="H237" s="254"/>
    </row>
    <row r="238" spans="1:8" ht="15">
      <c r="A238" s="72"/>
      <c r="B238" s="73"/>
      <c r="C238" s="66"/>
      <c r="D238" s="67"/>
      <c r="E238" s="84"/>
      <c r="F238" s="90"/>
      <c r="G238" s="62"/>
      <c r="H238" s="99"/>
    </row>
    <row r="239" spans="1:8" ht="13.5" thickBot="1">
      <c r="A239" s="106"/>
      <c r="B239" s="107"/>
      <c r="C239" s="107"/>
      <c r="D239" s="107"/>
      <c r="E239" s="108"/>
      <c r="F239" s="109"/>
      <c r="G239" s="107"/>
      <c r="H239" s="110"/>
    </row>
  </sheetData>
  <sheetProtection algorithmName="SHA-512" hashValue="eeoCtaBxYwOi3/pWNLqy4JPERfuiC6tZTfc0EQ4C0zlFQx3B6dGYKhgad3oadGMxi6szy76PY1cIkkRzBq7ECQ==" saltValue="hyUB1Ej5bR8z11rnO3BvY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26399-80E0-4850-B32C-D0EAD292C438}">
  <sheetPr codeName="Hárok4"/>
  <dimension ref="A1:AD807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5" style="208" bestFit="1" customWidth="1"/>
    <col min="10" max="10" width="17.140625" customWidth="1"/>
    <col min="11" max="11" width="11.7109375" bestFit="1" customWidth="1"/>
    <col min="13" max="13" width="10.42578125" customWidth="1"/>
    <col min="16" max="16" width="13.140625" customWidth="1"/>
    <col min="17" max="17" width="9.85546875" bestFit="1" customWidth="1"/>
    <col min="21" max="21" width="13.85546875" style="208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1341" t="s">
        <v>1094</v>
      </c>
      <c r="F1" s="1341"/>
      <c r="G1" s="1341"/>
      <c r="H1" s="1341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24">
      <c r="A5" s="299"/>
      <c r="B5" s="119"/>
      <c r="C5" s="119"/>
      <c r="D5" s="119"/>
      <c r="E5" s="323"/>
      <c r="F5" s="692"/>
      <c r="G5" s="296"/>
      <c r="H5" s="604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</row>
    <row r="10" spans="1:24">
      <c r="A10" s="268"/>
      <c r="B10" s="24"/>
      <c r="C10" s="25"/>
      <c r="D10" s="26"/>
      <c r="E10" s="316" t="s">
        <v>1095</v>
      </c>
      <c r="F10" s="136"/>
      <c r="G10" s="29"/>
      <c r="H10" s="30"/>
      <c r="L10" s="120"/>
      <c r="P10" s="694"/>
      <c r="X10" s="120"/>
    </row>
    <row r="11" spans="1:24" ht="26.25">
      <c r="A11" s="268"/>
      <c r="B11" s="24"/>
      <c r="C11" s="25"/>
      <c r="D11" s="26"/>
      <c r="E11" s="76" t="s">
        <v>1096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894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1097</v>
      </c>
      <c r="F13" s="136"/>
      <c r="G13" s="29"/>
      <c r="H13" s="3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1098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1099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1100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 t="s">
        <v>1101</v>
      </c>
      <c r="F18" s="136"/>
      <c r="G18" s="29"/>
      <c r="H18" s="30"/>
      <c r="L18" s="120"/>
      <c r="X18" s="120"/>
    </row>
    <row r="19" spans="1:24">
      <c r="A19" s="268"/>
      <c r="B19" s="24"/>
      <c r="C19" s="25"/>
      <c r="D19" s="26"/>
      <c r="E19" s="76"/>
      <c r="F19" s="136"/>
      <c r="G19" s="29"/>
      <c r="H19" s="30"/>
    </row>
    <row r="20" spans="1:24">
      <c r="A20" s="268"/>
      <c r="B20" s="24"/>
      <c r="C20" s="25"/>
      <c r="D20" s="26"/>
      <c r="E20" s="316" t="s">
        <v>1102</v>
      </c>
      <c r="F20" s="136"/>
      <c r="G20" s="29"/>
      <c r="H20" s="30"/>
    </row>
    <row r="21" spans="1:24" ht="26.25">
      <c r="A21" s="268"/>
      <c r="B21" s="24"/>
      <c r="C21" s="25"/>
      <c r="D21" s="26"/>
      <c r="E21" s="76" t="s">
        <v>907</v>
      </c>
      <c r="F21" s="136"/>
      <c r="G21" s="29"/>
      <c r="H21" s="30"/>
      <c r="L21" s="120"/>
      <c r="X21" s="120"/>
    </row>
    <row r="22" spans="1:24">
      <c r="A22" s="268"/>
      <c r="B22" s="24"/>
      <c r="C22" s="25"/>
      <c r="D22" s="26"/>
      <c r="E22" s="76" t="s">
        <v>1103</v>
      </c>
      <c r="F22" s="136"/>
      <c r="G22" s="29"/>
      <c r="H22" s="30"/>
      <c r="L22" s="120"/>
      <c r="X22" s="120"/>
    </row>
    <row r="23" spans="1:24">
      <c r="A23" s="268"/>
      <c r="B23" s="24"/>
      <c r="C23" s="25"/>
      <c r="D23" s="26"/>
      <c r="E23" s="76" t="s">
        <v>1104</v>
      </c>
      <c r="F23" s="136"/>
      <c r="G23" s="29"/>
      <c r="H23" s="30"/>
      <c r="L23" s="120"/>
      <c r="X23" s="120"/>
    </row>
    <row r="24" spans="1:24">
      <c r="A24" s="268"/>
      <c r="B24" s="24"/>
      <c r="C24" s="25"/>
      <c r="D24" s="26"/>
      <c r="E24" s="76"/>
      <c r="F24" s="136"/>
      <c r="G24" s="29"/>
      <c r="H24" s="30"/>
      <c r="L24" s="120"/>
    </row>
    <row r="25" spans="1:24">
      <c r="A25" s="268"/>
      <c r="B25" s="24"/>
      <c r="C25" s="25"/>
      <c r="D25" s="26"/>
      <c r="E25" s="316" t="s">
        <v>1105</v>
      </c>
      <c r="F25" s="136"/>
      <c r="G25" s="29"/>
      <c r="H25" s="30"/>
    </row>
    <row r="26" spans="1:24" ht="26.25">
      <c r="A26" s="268"/>
      <c r="B26" s="24"/>
      <c r="C26" s="25"/>
      <c r="D26" s="26"/>
      <c r="E26" s="76" t="s">
        <v>1106</v>
      </c>
      <c r="F26" s="136"/>
      <c r="G26" s="29"/>
      <c r="H26" s="30"/>
      <c r="L26" s="120"/>
      <c r="X26" s="120"/>
    </row>
    <row r="27" spans="1:24">
      <c r="A27" s="268"/>
      <c r="B27" s="24"/>
      <c r="C27" s="25"/>
      <c r="D27" s="26"/>
      <c r="E27" s="76" t="s">
        <v>1103</v>
      </c>
      <c r="F27" s="136"/>
      <c r="G27" s="29"/>
      <c r="H27" s="30"/>
      <c r="L27" s="120"/>
      <c r="X27" s="120"/>
    </row>
    <row r="28" spans="1:24">
      <c r="A28" s="268"/>
      <c r="B28" s="24"/>
      <c r="C28" s="25"/>
      <c r="D28" s="26"/>
      <c r="E28" s="76" t="s">
        <v>1107</v>
      </c>
      <c r="F28" s="136"/>
      <c r="G28" s="29"/>
      <c r="H28" s="30"/>
      <c r="L28" s="120"/>
      <c r="X28" s="120"/>
    </row>
    <row r="29" spans="1:24">
      <c r="A29" s="268"/>
      <c r="B29" s="24"/>
      <c r="C29" s="25"/>
      <c r="D29" s="26"/>
      <c r="E29" s="76"/>
      <c r="F29" s="136"/>
      <c r="G29" s="29"/>
      <c r="H29" s="30"/>
      <c r="L29" s="120"/>
    </row>
    <row r="30" spans="1:24">
      <c r="A30" s="268"/>
      <c r="B30" s="24"/>
      <c r="C30" s="25"/>
      <c r="D30" s="26"/>
      <c r="E30" s="316" t="s">
        <v>1108</v>
      </c>
      <c r="F30" s="136"/>
      <c r="G30" s="29"/>
      <c r="H30" s="30"/>
    </row>
    <row r="31" spans="1:24" ht="26.25">
      <c r="A31" s="268"/>
      <c r="B31" s="24"/>
      <c r="C31" s="25"/>
      <c r="D31" s="26"/>
      <c r="E31" s="76" t="s">
        <v>1109</v>
      </c>
      <c r="F31" s="136"/>
      <c r="G31" s="29"/>
      <c r="H31" s="30"/>
      <c r="L31" s="120"/>
      <c r="X31" s="120"/>
    </row>
    <row r="32" spans="1:24">
      <c r="A32" s="268"/>
      <c r="B32" s="24"/>
      <c r="C32" s="25"/>
      <c r="D32" s="26"/>
      <c r="E32" s="76" t="s">
        <v>902</v>
      </c>
      <c r="F32" s="136"/>
      <c r="G32" s="29"/>
      <c r="H32" s="30"/>
      <c r="L32" s="120"/>
      <c r="X32" s="120"/>
    </row>
    <row r="33" spans="1:30">
      <c r="A33" s="268"/>
      <c r="B33" s="24"/>
      <c r="C33" s="25"/>
      <c r="D33" s="26"/>
      <c r="E33" s="76" t="s">
        <v>1110</v>
      </c>
      <c r="F33" s="136"/>
      <c r="G33" s="29"/>
      <c r="H33" s="30"/>
      <c r="L33" s="120"/>
      <c r="X33" s="120"/>
    </row>
    <row r="34" spans="1:30">
      <c r="A34" s="268"/>
      <c r="B34" s="24"/>
      <c r="C34" s="25"/>
      <c r="D34" s="26"/>
      <c r="E34" s="76"/>
      <c r="F34" s="136"/>
      <c r="G34" s="29"/>
      <c r="H34" s="30"/>
      <c r="L34" s="120"/>
    </row>
    <row r="35" spans="1:30">
      <c r="A35" s="268"/>
      <c r="B35" s="24"/>
      <c r="C35" s="25"/>
      <c r="D35" s="26"/>
      <c r="E35" s="316" t="s">
        <v>1111</v>
      </c>
      <c r="F35" s="136"/>
      <c r="G35" s="29"/>
      <c r="H35" s="30"/>
    </row>
    <row r="36" spans="1:30" ht="26.25">
      <c r="A36" s="268"/>
      <c r="B36" s="24"/>
      <c r="C36" s="25"/>
      <c r="D36" s="26"/>
      <c r="E36" s="76" t="s">
        <v>1112</v>
      </c>
      <c r="F36" s="136"/>
      <c r="G36" s="29"/>
      <c r="H36" s="30"/>
      <c r="L36" s="120"/>
      <c r="X36" s="120"/>
    </row>
    <row r="37" spans="1:30">
      <c r="A37" s="268"/>
      <c r="B37" s="24"/>
      <c r="C37" s="25"/>
      <c r="D37" s="26"/>
      <c r="E37" s="76" t="s">
        <v>1113</v>
      </c>
      <c r="F37" s="136"/>
      <c r="G37" s="29"/>
      <c r="H37" s="30"/>
      <c r="L37" s="120"/>
      <c r="X37" s="120"/>
    </row>
    <row r="38" spans="1:30">
      <c r="A38" s="268"/>
      <c r="B38" s="24"/>
      <c r="C38" s="25"/>
      <c r="D38" s="26"/>
      <c r="E38" s="76" t="s">
        <v>1114</v>
      </c>
      <c r="F38" s="136"/>
      <c r="G38" s="29"/>
      <c r="H38" s="30"/>
      <c r="L38" s="120"/>
      <c r="X38" s="120"/>
    </row>
    <row r="39" spans="1:30">
      <c r="A39" s="268"/>
      <c r="B39" s="24"/>
      <c r="C39" s="25"/>
      <c r="D39" s="26"/>
      <c r="E39" s="76"/>
      <c r="F39" s="136"/>
      <c r="G39" s="29"/>
      <c r="H39" s="30"/>
      <c r="L39" s="120"/>
    </row>
    <row r="40" spans="1:30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0">
      <c r="A41" s="268"/>
      <c r="B41" s="24"/>
      <c r="C41" s="25"/>
      <c r="D41" s="26"/>
      <c r="E41" s="316" t="s">
        <v>1115</v>
      </c>
      <c r="F41" s="136"/>
      <c r="G41" s="29"/>
      <c r="H41" s="30"/>
      <c r="L41" s="120"/>
      <c r="R41" s="120"/>
      <c r="X41" s="120"/>
      <c r="AD41" s="120"/>
    </row>
    <row r="42" spans="1:30">
      <c r="A42" s="268"/>
      <c r="B42" s="24"/>
      <c r="C42" s="25"/>
      <c r="D42" s="26"/>
      <c r="E42" s="76" t="s">
        <v>1116</v>
      </c>
      <c r="F42" s="136"/>
      <c r="G42" s="29"/>
      <c r="H42" s="30"/>
      <c r="L42" s="120"/>
      <c r="R42" s="120"/>
      <c r="X42" s="120"/>
      <c r="AD42" s="120"/>
    </row>
    <row r="43" spans="1:30">
      <c r="A43" s="268"/>
      <c r="B43" s="24"/>
      <c r="C43" s="25"/>
      <c r="D43" s="26"/>
      <c r="E43" s="76" t="s">
        <v>1117</v>
      </c>
      <c r="F43" s="136"/>
      <c r="G43" s="29"/>
      <c r="H43" s="30"/>
      <c r="L43" s="120"/>
      <c r="R43" s="120"/>
      <c r="X43" s="120"/>
      <c r="AD43" s="120"/>
    </row>
    <row r="44" spans="1:30">
      <c r="A44" s="268"/>
      <c r="B44" s="24"/>
      <c r="C44" s="25"/>
      <c r="D44" s="26"/>
      <c r="E44" s="76"/>
      <c r="F44" s="136"/>
      <c r="G44" s="29"/>
      <c r="H44" s="30"/>
    </row>
    <row r="45" spans="1:30" ht="26.25">
      <c r="A45" s="268"/>
      <c r="B45" s="24"/>
      <c r="C45" s="25"/>
      <c r="D45" s="26"/>
      <c r="E45" s="76" t="s">
        <v>1118</v>
      </c>
      <c r="F45" s="136"/>
      <c r="G45" s="29"/>
      <c r="H45" s="30"/>
      <c r="R45" s="120"/>
    </row>
    <row r="46" spans="1:30" ht="26.25">
      <c r="A46" s="268"/>
      <c r="B46" s="24"/>
      <c r="C46" s="25"/>
      <c r="D46" s="26"/>
      <c r="E46" s="76" t="s">
        <v>1119</v>
      </c>
      <c r="F46" s="136"/>
      <c r="G46" s="29"/>
      <c r="H46" s="30"/>
    </row>
    <row r="47" spans="1:30">
      <c r="A47" s="268"/>
      <c r="B47" s="24"/>
      <c r="C47" s="25"/>
      <c r="D47" s="26"/>
      <c r="E47" s="76"/>
      <c r="F47" s="136"/>
      <c r="G47" s="29"/>
      <c r="H47" s="30"/>
    </row>
    <row r="48" spans="1:30" ht="26.25">
      <c r="A48" s="268"/>
      <c r="B48" s="24"/>
      <c r="C48" s="25"/>
      <c r="D48" s="26"/>
      <c r="E48" s="76" t="s">
        <v>916</v>
      </c>
      <c r="F48" s="136"/>
      <c r="G48" s="29"/>
      <c r="H48" s="30"/>
    </row>
    <row r="49" spans="1:8" ht="26.25">
      <c r="A49" s="268"/>
      <c r="B49" s="24"/>
      <c r="C49" s="25"/>
      <c r="D49" s="26"/>
      <c r="E49" s="76" t="s">
        <v>917</v>
      </c>
      <c r="F49" s="136"/>
      <c r="G49" s="29"/>
      <c r="H49" s="30"/>
    </row>
    <row r="50" spans="1:8">
      <c r="A50" s="268"/>
      <c r="B50" s="24"/>
      <c r="C50" s="25"/>
      <c r="D50" s="26"/>
      <c r="E50" s="76"/>
      <c r="F50" s="136"/>
      <c r="G50" s="29"/>
      <c r="H50" s="30"/>
    </row>
    <row r="51" spans="1:8">
      <c r="A51" s="268"/>
      <c r="B51" s="24"/>
      <c r="C51" s="25"/>
      <c r="D51" s="26"/>
      <c r="E51" s="316" t="s">
        <v>1120</v>
      </c>
      <c r="F51" s="136"/>
      <c r="G51" s="29"/>
      <c r="H51" s="30"/>
    </row>
    <row r="52" spans="1:8">
      <c r="A52" s="268"/>
      <c r="B52" s="24"/>
      <c r="C52" s="25"/>
      <c r="D52" s="26"/>
      <c r="E52" s="316" t="s">
        <v>1121</v>
      </c>
      <c r="F52" s="136"/>
      <c r="G52" s="29"/>
      <c r="H52" s="30"/>
    </row>
    <row r="53" spans="1:8" ht="26.25">
      <c r="A53" s="268"/>
      <c r="B53" s="24"/>
      <c r="C53" s="25"/>
      <c r="D53" s="26"/>
      <c r="E53" s="76" t="s">
        <v>1122</v>
      </c>
      <c r="F53" s="136"/>
      <c r="G53" s="29"/>
      <c r="H53" s="30"/>
    </row>
    <row r="54" spans="1:8">
      <c r="A54" s="268"/>
      <c r="B54" s="24"/>
      <c r="C54" s="25"/>
      <c r="D54" s="26"/>
      <c r="E54" s="76"/>
      <c r="F54" s="136"/>
      <c r="G54" s="29"/>
      <c r="H54" s="30"/>
    </row>
    <row r="55" spans="1:8">
      <c r="A55" s="268"/>
      <c r="B55" s="24"/>
      <c r="C55" s="25"/>
      <c r="D55" s="26"/>
      <c r="E55" s="316" t="s">
        <v>1123</v>
      </c>
      <c r="F55" s="136"/>
      <c r="G55" s="29"/>
      <c r="H55" s="30"/>
    </row>
    <row r="56" spans="1:8" ht="26.25">
      <c r="A56" s="268"/>
      <c r="B56" s="24"/>
      <c r="C56" s="25"/>
      <c r="D56" s="26"/>
      <c r="E56" s="76" t="s">
        <v>1124</v>
      </c>
      <c r="F56" s="136"/>
      <c r="G56" s="29"/>
      <c r="H56" s="30"/>
    </row>
    <row r="57" spans="1:8">
      <c r="A57" s="268"/>
      <c r="B57" s="24"/>
      <c r="C57" s="25"/>
      <c r="D57" s="26"/>
      <c r="E57" s="76"/>
      <c r="F57" s="136"/>
      <c r="G57" s="29"/>
      <c r="H57" s="30"/>
    </row>
    <row r="58" spans="1:8">
      <c r="A58" s="268"/>
      <c r="B58" s="24"/>
      <c r="C58" s="25"/>
      <c r="D58" s="26"/>
      <c r="E58" s="76"/>
      <c r="F58" s="136"/>
      <c r="G58" s="29"/>
      <c r="H58" s="30"/>
    </row>
    <row r="59" spans="1:8" ht="25.5">
      <c r="A59" s="34">
        <f>MAX(A$1:A58)+1</f>
        <v>2</v>
      </c>
      <c r="B59" s="24"/>
      <c r="C59" s="36" t="s">
        <v>13</v>
      </c>
      <c r="D59" s="37"/>
      <c r="E59" s="38" t="s">
        <v>14</v>
      </c>
      <c r="F59" s="39"/>
      <c r="G59" s="40" t="s">
        <v>15</v>
      </c>
      <c r="H59" s="1326">
        <v>3082.18</v>
      </c>
    </row>
    <row r="60" spans="1:8">
      <c r="A60" s="268"/>
      <c r="B60" s="24"/>
      <c r="C60" s="25"/>
      <c r="D60" s="26"/>
      <c r="E60" s="76"/>
      <c r="F60" s="1325">
        <f>F221</f>
        <v>3082.1769999999997</v>
      </c>
      <c r="G60" s="29"/>
      <c r="H60" s="30"/>
    </row>
    <row r="61" spans="1:8">
      <c r="A61" s="268"/>
      <c r="B61" s="24"/>
      <c r="C61" s="25"/>
      <c r="D61" s="26"/>
      <c r="E61" s="76"/>
      <c r="F61" s="136"/>
      <c r="G61" s="29"/>
      <c r="H61" s="30"/>
    </row>
    <row r="62" spans="1:8">
      <c r="A62" s="34">
        <f>MAX(A$1:A61)+1</f>
        <v>3</v>
      </c>
      <c r="B62" s="24"/>
      <c r="C62" s="36" t="s">
        <v>228</v>
      </c>
      <c r="D62" s="37"/>
      <c r="E62" s="38" t="s">
        <v>229</v>
      </c>
      <c r="F62" s="39"/>
      <c r="G62" s="40" t="s">
        <v>18</v>
      </c>
      <c r="H62" s="128">
        <v>93.26</v>
      </c>
    </row>
    <row r="63" spans="1:8">
      <c r="A63" s="268"/>
      <c r="B63" s="24"/>
      <c r="C63" s="25"/>
      <c r="D63" s="26"/>
      <c r="E63" s="76"/>
      <c r="F63" s="136">
        <f>F281+F376</f>
        <v>93.256900000000016</v>
      </c>
      <c r="G63" s="29"/>
      <c r="H63" s="30"/>
    </row>
    <row r="64" spans="1:8">
      <c r="A64" s="145"/>
      <c r="B64" s="31"/>
      <c r="C64" s="36"/>
      <c r="D64" s="37"/>
      <c r="E64" s="38"/>
      <c r="F64" s="46"/>
      <c r="G64" s="40"/>
      <c r="H64" s="30"/>
    </row>
    <row r="65" spans="1:9" ht="25.5">
      <c r="A65" s="34">
        <f>MAX(A$1:A64)+1</f>
        <v>4</v>
      </c>
      <c r="B65" s="35"/>
      <c r="C65" s="36" t="s">
        <v>16</v>
      </c>
      <c r="D65" s="37"/>
      <c r="E65" s="38" t="s">
        <v>17</v>
      </c>
      <c r="F65" s="39"/>
      <c r="G65" s="40" t="s">
        <v>18</v>
      </c>
      <c r="H65" s="128">
        <v>231.20000000000002</v>
      </c>
    </row>
    <row r="66" spans="1:9">
      <c r="A66" s="34"/>
      <c r="B66" s="35"/>
      <c r="C66" s="36"/>
      <c r="D66" s="37"/>
      <c r="E66" s="65" t="s">
        <v>852</v>
      </c>
      <c r="F66" s="90">
        <f>F265</f>
        <v>231.20000000000002</v>
      </c>
      <c r="G66" s="40"/>
      <c r="H66" s="30"/>
    </row>
    <row r="67" spans="1:9">
      <c r="A67" s="145"/>
      <c r="B67" s="35"/>
      <c r="C67" s="36"/>
      <c r="D67" s="37"/>
      <c r="E67" s="65"/>
      <c r="F67" s="90"/>
      <c r="G67" s="40"/>
      <c r="H67" s="30"/>
    </row>
    <row r="68" spans="1:9" ht="15.75">
      <c r="A68" s="145"/>
      <c r="B68" s="24" t="s">
        <v>19</v>
      </c>
      <c r="C68" s="48"/>
      <c r="D68" s="49"/>
      <c r="E68" s="50" t="s">
        <v>20</v>
      </c>
      <c r="F68" s="90"/>
      <c r="G68" s="40"/>
      <c r="H68" s="30"/>
    </row>
    <row r="69" spans="1:9" ht="15.75">
      <c r="A69" s="145"/>
      <c r="B69" s="24"/>
      <c r="C69" s="48"/>
      <c r="D69" s="49"/>
      <c r="E69" s="50"/>
      <c r="F69" s="90"/>
      <c r="G69" s="40"/>
      <c r="H69" s="30"/>
    </row>
    <row r="70" spans="1:9">
      <c r="A70" s="34">
        <f>MAX(A$1:A69)+1</f>
        <v>5</v>
      </c>
      <c r="B70" s="24"/>
      <c r="C70" s="36" t="s">
        <v>67</v>
      </c>
      <c r="D70" s="37"/>
      <c r="E70" s="38" t="s">
        <v>68</v>
      </c>
      <c r="F70" s="39"/>
      <c r="G70" s="40" t="s">
        <v>18</v>
      </c>
      <c r="H70" s="128">
        <v>7.1999999999999993</v>
      </c>
      <c r="I70" s="704"/>
    </row>
    <row r="71" spans="1:9" ht="25.5">
      <c r="A71" s="145"/>
      <c r="B71" s="24"/>
      <c r="C71" s="36"/>
      <c r="D71" s="37"/>
      <c r="E71" s="65" t="s">
        <v>1125</v>
      </c>
      <c r="F71" s="46">
        <f>3*1.2*1*1</f>
        <v>3.5999999999999996</v>
      </c>
      <c r="G71" s="40"/>
      <c r="H71" s="30"/>
    </row>
    <row r="72" spans="1:9" ht="25.5">
      <c r="A72" s="145"/>
      <c r="B72" s="24"/>
      <c r="C72" s="36"/>
      <c r="D72" s="37"/>
      <c r="E72" s="65" t="s">
        <v>1126</v>
      </c>
      <c r="F72" s="69">
        <f>3*1.2*1*1</f>
        <v>3.5999999999999996</v>
      </c>
      <c r="G72" s="40"/>
      <c r="H72" s="30"/>
    </row>
    <row r="73" spans="1:9">
      <c r="A73" s="145"/>
      <c r="B73" s="24"/>
      <c r="C73" s="36"/>
      <c r="D73" s="37"/>
      <c r="E73" s="65"/>
      <c r="F73" s="46">
        <f>SUM(F71:F72)</f>
        <v>7.1999999999999993</v>
      </c>
      <c r="G73" s="40"/>
      <c r="H73" s="30"/>
    </row>
    <row r="74" spans="1:9">
      <c r="A74" s="145"/>
      <c r="B74" s="24"/>
      <c r="C74" s="36"/>
      <c r="D74" s="37"/>
      <c r="E74" s="65"/>
      <c r="F74" s="46"/>
      <c r="G74" s="40"/>
      <c r="H74" s="30"/>
    </row>
    <row r="75" spans="1:9" ht="25.5">
      <c r="A75" s="34">
        <f>MAX(A$1:A74)+1</f>
        <v>6</v>
      </c>
      <c r="B75" s="24"/>
      <c r="C75" s="36" t="s">
        <v>113</v>
      </c>
      <c r="D75" s="37"/>
      <c r="E75" s="38" t="s">
        <v>114</v>
      </c>
      <c r="F75" s="39"/>
      <c r="G75" s="130" t="s">
        <v>36</v>
      </c>
      <c r="H75" s="64">
        <v>293</v>
      </c>
    </row>
    <row r="76" spans="1:9" ht="38.25">
      <c r="A76" s="145"/>
      <c r="B76" s="24"/>
      <c r="C76" s="36"/>
      <c r="D76" s="67" t="s">
        <v>482</v>
      </c>
      <c r="E76" s="71" t="s">
        <v>483</v>
      </c>
      <c r="F76" s="61"/>
      <c r="G76" s="62" t="s">
        <v>36</v>
      </c>
      <c r="H76" s="83">
        <v>263</v>
      </c>
    </row>
    <row r="77" spans="1:9">
      <c r="A77" s="145"/>
      <c r="B77" s="24"/>
      <c r="C77" s="36"/>
      <c r="D77" s="67"/>
      <c r="E77" s="168" t="s">
        <v>1127</v>
      </c>
      <c r="F77" s="603">
        <v>120</v>
      </c>
      <c r="G77" s="62"/>
      <c r="H77" s="83"/>
    </row>
    <row r="78" spans="1:9">
      <c r="A78" s="145"/>
      <c r="B78" s="24"/>
      <c r="C78" s="36"/>
      <c r="D78" s="67"/>
      <c r="E78" s="168" t="s">
        <v>1128</v>
      </c>
      <c r="F78" s="603">
        <v>35</v>
      </c>
      <c r="G78" s="62"/>
      <c r="H78" s="83"/>
    </row>
    <row r="79" spans="1:9">
      <c r="A79" s="145"/>
      <c r="B79" s="24"/>
      <c r="C79" s="36"/>
      <c r="D79" s="37"/>
      <c r="E79" s="168" t="s">
        <v>1129</v>
      </c>
      <c r="F79" s="705">
        <v>108</v>
      </c>
      <c r="G79" s="130"/>
      <c r="H79" s="64"/>
    </row>
    <row r="80" spans="1:9">
      <c r="A80" s="145"/>
      <c r="B80" s="24"/>
      <c r="C80" s="36"/>
      <c r="D80" s="37"/>
      <c r="E80" s="168" t="s">
        <v>1130</v>
      </c>
      <c r="F80" s="706">
        <f>SUM(F77:F79)</f>
        <v>263</v>
      </c>
      <c r="G80" s="130"/>
      <c r="H80" s="64"/>
    </row>
    <row r="81" spans="1:9" ht="38.25">
      <c r="A81" s="145"/>
      <c r="B81" s="24"/>
      <c r="C81" s="66"/>
      <c r="D81" s="67" t="s">
        <v>491</v>
      </c>
      <c r="E81" s="71" t="s">
        <v>492</v>
      </c>
      <c r="F81" s="61"/>
      <c r="G81" s="62" t="s">
        <v>33</v>
      </c>
      <c r="H81" s="83">
        <v>30</v>
      </c>
    </row>
    <row r="82" spans="1:9">
      <c r="A82" s="145"/>
      <c r="B82" s="24"/>
      <c r="C82" s="125"/>
      <c r="D82" s="601"/>
      <c r="E82" s="168" t="s">
        <v>1131</v>
      </c>
      <c r="F82" s="603">
        <v>10</v>
      </c>
      <c r="G82" s="32"/>
      <c r="H82" s="83"/>
    </row>
    <row r="83" spans="1:9">
      <c r="A83" s="145"/>
      <c r="B83" s="24"/>
      <c r="C83" s="125"/>
      <c r="D83" s="601"/>
      <c r="E83" s="168" t="s">
        <v>1132</v>
      </c>
      <c r="F83" s="603">
        <v>10</v>
      </c>
      <c r="G83" s="32"/>
      <c r="H83" s="83"/>
    </row>
    <row r="84" spans="1:9">
      <c r="A84" s="145"/>
      <c r="B84" s="24"/>
      <c r="C84" s="125"/>
      <c r="D84" s="601"/>
      <c r="E84" s="168" t="s">
        <v>1133</v>
      </c>
      <c r="F84" s="603">
        <v>2</v>
      </c>
      <c r="G84" s="32"/>
      <c r="H84" s="83"/>
    </row>
    <row r="85" spans="1:9">
      <c r="A85" s="145"/>
      <c r="B85" s="24"/>
      <c r="C85" s="125"/>
      <c r="D85" s="601"/>
      <c r="E85" s="168" t="s">
        <v>1134</v>
      </c>
      <c r="F85" s="705">
        <v>8</v>
      </c>
      <c r="G85" s="32"/>
      <c r="H85" s="83"/>
    </row>
    <row r="86" spans="1:9">
      <c r="A86" s="145"/>
      <c r="B86" s="24"/>
      <c r="C86" s="125"/>
      <c r="D86" s="601"/>
      <c r="E86" s="168" t="s">
        <v>1130</v>
      </c>
      <c r="F86" s="706">
        <f>SUM(F82:F85)</f>
        <v>30</v>
      </c>
      <c r="G86" s="32"/>
      <c r="H86" s="83"/>
    </row>
    <row r="87" spans="1:9">
      <c r="A87" s="145"/>
      <c r="B87" s="24"/>
      <c r="C87" s="36"/>
      <c r="D87" s="37"/>
      <c r="E87" s="65"/>
      <c r="F87" s="46"/>
      <c r="G87" s="40"/>
      <c r="H87" s="30"/>
    </row>
    <row r="88" spans="1:9" ht="25.5">
      <c r="A88" s="34">
        <f>MAX(A$1:A87)+1</f>
        <v>7</v>
      </c>
      <c r="B88" s="24"/>
      <c r="C88" s="36" t="s">
        <v>535</v>
      </c>
      <c r="D88" s="37"/>
      <c r="E88" s="38" t="s">
        <v>536</v>
      </c>
      <c r="F88" s="39"/>
      <c r="G88" s="40" t="s">
        <v>36</v>
      </c>
      <c r="H88" s="128">
        <v>60</v>
      </c>
    </row>
    <row r="89" spans="1:9" ht="25.5">
      <c r="A89" s="145"/>
      <c r="B89" s="24"/>
      <c r="C89" s="36"/>
      <c r="D89" s="67" t="s">
        <v>537</v>
      </c>
      <c r="E89" s="71" t="s">
        <v>538</v>
      </c>
      <c r="F89" s="61"/>
      <c r="G89" s="62" t="s">
        <v>36</v>
      </c>
      <c r="H89" s="124">
        <v>60</v>
      </c>
    </row>
    <row r="90" spans="1:9">
      <c r="A90" s="145"/>
      <c r="B90" s="24"/>
      <c r="C90" s="36"/>
      <c r="D90" s="37"/>
      <c r="E90" s="65" t="s">
        <v>1135</v>
      </c>
      <c r="F90" s="46">
        <v>60</v>
      </c>
      <c r="G90" s="40"/>
      <c r="H90" s="30"/>
    </row>
    <row r="91" spans="1:9">
      <c r="A91" s="145"/>
      <c r="B91" s="24"/>
      <c r="C91" s="36"/>
      <c r="D91" s="37"/>
      <c r="E91" s="65"/>
      <c r="F91" s="46"/>
      <c r="G91" s="40"/>
      <c r="H91" s="30"/>
    </row>
    <row r="92" spans="1:9" ht="25.5">
      <c r="A92" s="34">
        <f>MAX(A$1:A91)+1</f>
        <v>8</v>
      </c>
      <c r="B92" s="24"/>
      <c r="C92" s="36" t="s">
        <v>117</v>
      </c>
      <c r="D92" s="37"/>
      <c r="E92" s="38" t="s">
        <v>118</v>
      </c>
      <c r="F92" s="39"/>
      <c r="G92" s="40" t="s">
        <v>33</v>
      </c>
      <c r="H92" s="128">
        <v>2</v>
      </c>
      <c r="I92" s="704"/>
    </row>
    <row r="93" spans="1:9" ht="15.75">
      <c r="A93" s="145"/>
      <c r="B93" s="24"/>
      <c r="C93" s="48"/>
      <c r="D93" s="49"/>
      <c r="E93" s="65" t="s">
        <v>1136</v>
      </c>
      <c r="F93" s="90">
        <v>1</v>
      </c>
      <c r="G93" s="40"/>
      <c r="H93" s="30"/>
    </row>
    <row r="94" spans="1:9" ht="15.75">
      <c r="A94" s="145"/>
      <c r="B94" s="24"/>
      <c r="C94" s="48"/>
      <c r="D94" s="49"/>
      <c r="E94" s="65" t="s">
        <v>1137</v>
      </c>
      <c r="F94" s="138">
        <v>1</v>
      </c>
      <c r="G94" s="40"/>
      <c r="H94" s="30"/>
    </row>
    <row r="95" spans="1:9" ht="15.75">
      <c r="A95" s="145"/>
      <c r="B95" s="24"/>
      <c r="C95" s="48"/>
      <c r="D95" s="49"/>
      <c r="E95" s="65"/>
      <c r="F95" s="90">
        <f>SUM(F93:F94)</f>
        <v>2</v>
      </c>
      <c r="G95" s="40"/>
      <c r="H95" s="30"/>
    </row>
    <row r="96" spans="1:9" ht="15.75">
      <c r="A96" s="145"/>
      <c r="B96" s="24"/>
      <c r="C96" s="48"/>
      <c r="D96" s="49"/>
      <c r="E96" s="50"/>
      <c r="F96" s="90"/>
      <c r="G96" s="40"/>
      <c r="H96" s="30"/>
    </row>
    <row r="97" spans="1:8" ht="25.5">
      <c r="A97" s="34">
        <f>MAX(A$1:A96)+1</f>
        <v>9</v>
      </c>
      <c r="B97" s="24"/>
      <c r="C97" s="36" t="s">
        <v>22</v>
      </c>
      <c r="D97" s="37"/>
      <c r="E97" s="38" t="s">
        <v>23</v>
      </c>
      <c r="F97" s="39"/>
      <c r="G97" s="40" t="s">
        <v>21</v>
      </c>
      <c r="H97" s="128">
        <v>363.6</v>
      </c>
    </row>
    <row r="98" spans="1:8" ht="38.25">
      <c r="A98" s="145"/>
      <c r="B98" s="24"/>
      <c r="C98" s="36"/>
      <c r="D98" s="67" t="s">
        <v>24</v>
      </c>
      <c r="E98" s="71" t="s">
        <v>25</v>
      </c>
      <c r="F98" s="61"/>
      <c r="G98" s="62" t="s">
        <v>21</v>
      </c>
      <c r="H98" s="124">
        <v>210</v>
      </c>
    </row>
    <row r="99" spans="1:8" ht="25.5">
      <c r="A99" s="145"/>
      <c r="B99" s="24"/>
      <c r="C99" s="36"/>
      <c r="D99" s="37"/>
      <c r="E99" s="65" t="s">
        <v>1138</v>
      </c>
      <c r="F99" s="46">
        <v>210</v>
      </c>
      <c r="G99" s="40"/>
      <c r="H99" s="128"/>
    </row>
    <row r="100" spans="1:8" ht="38.25">
      <c r="A100" s="145"/>
      <c r="B100" s="24"/>
      <c r="C100" s="66"/>
      <c r="D100" s="67" t="s">
        <v>637</v>
      </c>
      <c r="E100" s="71" t="s">
        <v>638</v>
      </c>
      <c r="F100" s="61"/>
      <c r="G100" s="62" t="s">
        <v>21</v>
      </c>
      <c r="H100" s="124">
        <v>153.6</v>
      </c>
    </row>
    <row r="101" spans="1:8" ht="25.5">
      <c r="A101" s="145"/>
      <c r="B101" s="24"/>
      <c r="C101" s="66"/>
      <c r="D101" s="67"/>
      <c r="E101" s="65" t="s">
        <v>1139</v>
      </c>
      <c r="F101" s="46">
        <v>138</v>
      </c>
      <c r="G101" s="62"/>
      <c r="H101" s="30"/>
    </row>
    <row r="102" spans="1:8" ht="26.25">
      <c r="A102" s="145"/>
      <c r="B102" s="24"/>
      <c r="C102" s="66"/>
      <c r="D102" s="67"/>
      <c r="E102" s="678" t="s">
        <v>1140</v>
      </c>
      <c r="F102" s="138">
        <f>26*0.6</f>
        <v>15.6</v>
      </c>
      <c r="G102" s="62"/>
      <c r="H102" s="30"/>
    </row>
    <row r="103" spans="1:8">
      <c r="A103" s="145"/>
      <c r="B103" s="24"/>
      <c r="C103" s="66"/>
      <c r="D103" s="67"/>
      <c r="E103" s="65"/>
      <c r="F103" s="46">
        <f>SUM(F101:F102)</f>
        <v>153.6</v>
      </c>
      <c r="G103" s="62"/>
      <c r="H103" s="30"/>
    </row>
    <row r="104" spans="1:8" ht="15.75">
      <c r="A104" s="145"/>
      <c r="B104" s="24"/>
      <c r="C104" s="48"/>
      <c r="D104" s="49"/>
      <c r="E104" s="50"/>
      <c r="F104" s="90"/>
      <c r="G104" s="40"/>
      <c r="H104" s="30"/>
    </row>
    <row r="105" spans="1:8" ht="25.5">
      <c r="A105" s="34">
        <f>MAX(A$1:A104)+1</f>
        <v>10</v>
      </c>
      <c r="B105" s="24"/>
      <c r="C105" s="36" t="s">
        <v>119</v>
      </c>
      <c r="D105" s="37"/>
      <c r="E105" s="38" t="s">
        <v>120</v>
      </c>
      <c r="F105" s="39"/>
      <c r="G105" s="40" t="s">
        <v>21</v>
      </c>
      <c r="H105" s="128">
        <v>2327</v>
      </c>
    </row>
    <row r="106" spans="1:8" ht="25.5">
      <c r="A106" s="145"/>
      <c r="B106" s="24"/>
      <c r="C106" s="66"/>
      <c r="D106" s="67" t="s">
        <v>121</v>
      </c>
      <c r="E106" s="71" t="s">
        <v>122</v>
      </c>
      <c r="F106" s="61"/>
      <c r="G106" s="62" t="s">
        <v>21</v>
      </c>
      <c r="H106" s="124">
        <v>2327</v>
      </c>
    </row>
    <row r="107" spans="1:8" ht="25.5">
      <c r="A107" s="145"/>
      <c r="B107" s="24"/>
      <c r="C107" s="66"/>
      <c r="D107" s="67"/>
      <c r="E107" s="65" t="s">
        <v>1141</v>
      </c>
      <c r="F107" s="46">
        <v>207</v>
      </c>
      <c r="G107" s="62"/>
      <c r="H107" s="124"/>
    </row>
    <row r="108" spans="1:8" ht="25.5">
      <c r="A108" s="145"/>
      <c r="B108" s="24"/>
      <c r="C108" s="48"/>
      <c r="D108" s="49"/>
      <c r="E108" s="65" t="s">
        <v>1142</v>
      </c>
      <c r="F108" s="138">
        <v>2120</v>
      </c>
      <c r="G108" s="40"/>
      <c r="H108" s="30"/>
    </row>
    <row r="109" spans="1:8" ht="15.75">
      <c r="A109" s="145"/>
      <c r="B109" s="24"/>
      <c r="C109" s="48"/>
      <c r="D109" s="49"/>
      <c r="E109" s="65"/>
      <c r="F109" s="90">
        <f>SUM(F107:F108)</f>
        <v>2327</v>
      </c>
      <c r="G109" s="40"/>
      <c r="H109" s="30"/>
    </row>
    <row r="110" spans="1:8" ht="15.75">
      <c r="A110" s="145"/>
      <c r="B110" s="24"/>
      <c r="C110" s="48"/>
      <c r="D110" s="49"/>
      <c r="E110" s="50"/>
      <c r="F110" s="90"/>
      <c r="G110" s="40"/>
      <c r="H110" s="30"/>
    </row>
    <row r="111" spans="1:8" ht="25.5">
      <c r="A111" s="34">
        <f>MAX(A$1:A110)+1</f>
        <v>11</v>
      </c>
      <c r="B111" s="35"/>
      <c r="C111" s="36" t="s">
        <v>26</v>
      </c>
      <c r="D111" s="37"/>
      <c r="E111" s="38" t="s">
        <v>27</v>
      </c>
      <c r="F111" s="39"/>
      <c r="G111" s="40" t="s">
        <v>21</v>
      </c>
      <c r="H111" s="128">
        <v>777.5</v>
      </c>
    </row>
    <row r="112" spans="1:8" ht="25.5">
      <c r="A112" s="145"/>
      <c r="B112" s="35"/>
      <c r="C112" s="36"/>
      <c r="D112" s="67" t="s">
        <v>453</v>
      </c>
      <c r="E112" s="71" t="s">
        <v>454</v>
      </c>
      <c r="F112" s="61"/>
      <c r="G112" s="62" t="s">
        <v>21</v>
      </c>
      <c r="H112" s="124">
        <v>777.5</v>
      </c>
    </row>
    <row r="113" spans="1:11" ht="25.5">
      <c r="A113" s="145"/>
      <c r="B113" s="35"/>
      <c r="C113" s="36"/>
      <c r="D113" s="37"/>
      <c r="E113" s="65" t="s">
        <v>1143</v>
      </c>
      <c r="F113" s="46">
        <v>85</v>
      </c>
      <c r="G113" s="40"/>
      <c r="H113" s="128"/>
    </row>
    <row r="114" spans="1:11">
      <c r="A114" s="145"/>
      <c r="B114" s="35"/>
      <c r="C114" s="36"/>
      <c r="D114" s="37"/>
      <c r="E114" s="65" t="s">
        <v>924</v>
      </c>
      <c r="F114" s="90">
        <v>433</v>
      </c>
      <c r="G114" s="40"/>
      <c r="H114" s="128"/>
    </row>
    <row r="115" spans="1:11" ht="26.25">
      <c r="A115" s="145"/>
      <c r="B115" s="35"/>
      <c r="C115" s="36"/>
      <c r="D115" s="37"/>
      <c r="E115" s="68" t="s">
        <v>925</v>
      </c>
      <c r="F115" s="90">
        <v>172</v>
      </c>
      <c r="G115" s="40"/>
      <c r="H115" s="128"/>
      <c r="I115" s="693"/>
    </row>
    <row r="116" spans="1:11" ht="26.25">
      <c r="A116" s="145"/>
      <c r="B116" s="35"/>
      <c r="C116" s="36"/>
      <c r="D116" s="37"/>
      <c r="E116" s="68" t="s">
        <v>925</v>
      </c>
      <c r="F116" s="138">
        <f>175*0.5</f>
        <v>87.5</v>
      </c>
      <c r="G116" s="40"/>
      <c r="H116" s="128"/>
      <c r="I116" s="693"/>
    </row>
    <row r="117" spans="1:11">
      <c r="A117" s="145"/>
      <c r="B117" s="35"/>
      <c r="C117" s="36"/>
      <c r="D117" s="37"/>
      <c r="E117" s="65"/>
      <c r="F117" s="90">
        <f>SUM(F113:F116)</f>
        <v>777.5</v>
      </c>
      <c r="G117" s="40"/>
      <c r="H117" s="128"/>
    </row>
    <row r="118" spans="1:11">
      <c r="A118" s="145"/>
      <c r="B118" s="35"/>
      <c r="C118" s="36"/>
      <c r="D118" s="37"/>
      <c r="E118" s="65"/>
      <c r="F118" s="90"/>
      <c r="G118" s="40"/>
      <c r="H118" s="30"/>
    </row>
    <row r="119" spans="1:11" ht="25.5">
      <c r="A119" s="34">
        <f>MAX(A$1:A118)+1</f>
        <v>12</v>
      </c>
      <c r="B119" s="35"/>
      <c r="C119" s="36" t="s">
        <v>28</v>
      </c>
      <c r="D119" s="37"/>
      <c r="E119" s="38" t="s">
        <v>29</v>
      </c>
      <c r="F119" s="39"/>
      <c r="G119" s="40" t="s">
        <v>21</v>
      </c>
      <c r="H119" s="128">
        <v>2740</v>
      </c>
      <c r="I119" s="695"/>
    </row>
    <row r="120" spans="1:11" ht="25.5">
      <c r="A120" s="145"/>
      <c r="B120" s="35"/>
      <c r="C120" s="36"/>
      <c r="D120" s="67" t="s">
        <v>30</v>
      </c>
      <c r="E120" s="71" t="s">
        <v>31</v>
      </c>
      <c r="F120" s="61"/>
      <c r="G120" s="62" t="s">
        <v>21</v>
      </c>
      <c r="H120" s="124">
        <v>2120</v>
      </c>
    </row>
    <row r="121" spans="1:11">
      <c r="A121" s="145"/>
      <c r="B121" s="35"/>
      <c r="C121" s="36"/>
      <c r="D121" s="37"/>
      <c r="E121" s="65" t="s">
        <v>926</v>
      </c>
      <c r="F121" s="90">
        <v>2120</v>
      </c>
      <c r="G121" s="40"/>
      <c r="H121" s="124"/>
    </row>
    <row r="122" spans="1:11" ht="38.25">
      <c r="A122" s="145"/>
      <c r="B122" s="35"/>
      <c r="C122" s="66"/>
      <c r="D122" s="67" t="s">
        <v>276</v>
      </c>
      <c r="E122" s="71" t="s">
        <v>277</v>
      </c>
      <c r="F122" s="61"/>
      <c r="G122" s="62" t="s">
        <v>21</v>
      </c>
      <c r="H122" s="124">
        <v>588</v>
      </c>
    </row>
    <row r="123" spans="1:11" ht="25.5">
      <c r="A123" s="145"/>
      <c r="B123" s="35"/>
      <c r="C123" s="66"/>
      <c r="D123" s="67"/>
      <c r="E123" s="65" t="s">
        <v>1144</v>
      </c>
      <c r="F123" s="90">
        <v>380</v>
      </c>
      <c r="G123" s="62"/>
      <c r="H123" s="30"/>
      <c r="K123" s="120"/>
    </row>
    <row r="124" spans="1:11" ht="25.5">
      <c r="A124" s="145"/>
      <c r="B124" s="35"/>
      <c r="C124" s="66"/>
      <c r="D124" s="67"/>
      <c r="E124" s="65" t="s">
        <v>1145</v>
      </c>
      <c r="F124" s="90">
        <v>138</v>
      </c>
      <c r="G124" s="62"/>
      <c r="H124" s="30"/>
      <c r="K124" s="120"/>
    </row>
    <row r="125" spans="1:11" ht="25.5">
      <c r="A125" s="145"/>
      <c r="B125" s="35"/>
      <c r="C125" s="66"/>
      <c r="D125" s="67"/>
      <c r="E125" s="65" t="s">
        <v>1146</v>
      </c>
      <c r="F125" s="138">
        <v>70</v>
      </c>
      <c r="G125" s="62"/>
      <c r="H125" s="30"/>
      <c r="K125" s="120"/>
    </row>
    <row r="126" spans="1:11">
      <c r="A126" s="145"/>
      <c r="B126" s="35"/>
      <c r="C126" s="66"/>
      <c r="D126" s="67"/>
      <c r="E126" s="65"/>
      <c r="F126" s="90">
        <f>SUM(F123:F125)</f>
        <v>588</v>
      </c>
      <c r="G126" s="62"/>
      <c r="H126" s="30"/>
      <c r="K126" s="120"/>
    </row>
    <row r="127" spans="1:11" ht="38.25">
      <c r="A127" s="145"/>
      <c r="B127" s="35"/>
      <c r="C127" s="66"/>
      <c r="D127" s="67" t="s">
        <v>748</v>
      </c>
      <c r="E127" s="71" t="s">
        <v>749</v>
      </c>
      <c r="F127" s="61"/>
      <c r="G127" s="62" t="s">
        <v>21</v>
      </c>
      <c r="H127" s="124">
        <v>32</v>
      </c>
      <c r="K127" s="120"/>
    </row>
    <row r="128" spans="1:11">
      <c r="A128" s="145"/>
      <c r="B128" s="35"/>
      <c r="C128" s="66"/>
      <c r="D128" s="67"/>
      <c r="E128" s="65" t="s">
        <v>1147</v>
      </c>
      <c r="F128" s="90">
        <v>32</v>
      </c>
      <c r="G128" s="62"/>
      <c r="H128" s="30"/>
      <c r="K128" s="120"/>
    </row>
    <row r="129" spans="1:9">
      <c r="A129" s="145"/>
      <c r="B129" s="35"/>
      <c r="C129" s="36"/>
      <c r="D129" s="37"/>
      <c r="E129" s="65"/>
      <c r="F129" s="90"/>
      <c r="G129" s="40"/>
      <c r="H129" s="30"/>
    </row>
    <row r="130" spans="1:9" ht="25.5">
      <c r="A130" s="34">
        <f>MAX(A$1:A129)+1</f>
        <v>13</v>
      </c>
      <c r="B130" s="35"/>
      <c r="C130" s="36" t="s">
        <v>125</v>
      </c>
      <c r="D130" s="37"/>
      <c r="E130" s="38" t="s">
        <v>126</v>
      </c>
      <c r="F130" s="39"/>
      <c r="G130" s="40" t="s">
        <v>21</v>
      </c>
      <c r="H130" s="128">
        <v>1228</v>
      </c>
      <c r="I130" s="695"/>
    </row>
    <row r="131" spans="1:9" ht="25.5">
      <c r="A131" s="145"/>
      <c r="B131" s="35"/>
      <c r="C131" s="36"/>
      <c r="D131" s="67" t="s">
        <v>278</v>
      </c>
      <c r="E131" s="71" t="s">
        <v>279</v>
      </c>
      <c r="F131" s="61"/>
      <c r="G131" s="62" t="s">
        <v>21</v>
      </c>
      <c r="H131" s="124">
        <v>1228</v>
      </c>
    </row>
    <row r="132" spans="1:9" ht="25.5">
      <c r="A132" s="145"/>
      <c r="B132" s="35"/>
      <c r="C132" s="36"/>
      <c r="D132" s="67"/>
      <c r="E132" s="65" t="s">
        <v>1148</v>
      </c>
      <c r="F132" s="90">
        <v>590</v>
      </c>
      <c r="G132" s="62"/>
      <c r="H132" s="128"/>
    </row>
    <row r="133" spans="1:9" ht="25.5">
      <c r="A133" s="145"/>
      <c r="B133" s="35"/>
      <c r="C133" s="36"/>
      <c r="D133" s="67"/>
      <c r="E133" s="65" t="s">
        <v>1149</v>
      </c>
      <c r="F133" s="90">
        <v>380</v>
      </c>
      <c r="G133" s="62"/>
      <c r="H133" s="128"/>
    </row>
    <row r="134" spans="1:9" ht="25.5">
      <c r="A134" s="145"/>
      <c r="B134" s="35"/>
      <c r="C134" s="36"/>
      <c r="D134" s="67"/>
      <c r="E134" s="65" t="s">
        <v>1150</v>
      </c>
      <c r="F134" s="90">
        <v>138</v>
      </c>
      <c r="G134" s="62"/>
      <c r="H134" s="128"/>
    </row>
    <row r="135" spans="1:9" ht="25.5">
      <c r="A135" s="145"/>
      <c r="B135" s="35"/>
      <c r="C135" s="36"/>
      <c r="D135" s="67"/>
      <c r="E135" s="65" t="s">
        <v>1151</v>
      </c>
      <c r="F135" s="138">
        <v>120</v>
      </c>
      <c r="G135" s="62"/>
      <c r="H135" s="128"/>
    </row>
    <row r="136" spans="1:9">
      <c r="A136" s="145"/>
      <c r="B136" s="35"/>
      <c r="C136" s="36"/>
      <c r="D136" s="37"/>
      <c r="E136" s="38"/>
      <c r="F136" s="90">
        <f>SUM(F132:F135)</f>
        <v>1228</v>
      </c>
      <c r="G136" s="40"/>
      <c r="H136" s="128"/>
    </row>
    <row r="137" spans="1:9">
      <c r="A137" s="145"/>
      <c r="B137" s="35"/>
      <c r="C137" s="36"/>
      <c r="D137" s="37"/>
      <c r="E137" s="65"/>
      <c r="F137" s="90"/>
      <c r="G137" s="40"/>
      <c r="H137" s="30"/>
    </row>
    <row r="138" spans="1:9" ht="38.25">
      <c r="A138" s="34">
        <f>MAX(A$1:A137)+1</f>
        <v>14</v>
      </c>
      <c r="B138" s="35"/>
      <c r="C138" s="36" t="s">
        <v>133</v>
      </c>
      <c r="D138" s="37"/>
      <c r="E138" s="38" t="s">
        <v>134</v>
      </c>
      <c r="F138" s="39"/>
      <c r="G138" s="40" t="s">
        <v>21</v>
      </c>
      <c r="H138" s="128">
        <v>3523</v>
      </c>
      <c r="I138" s="695"/>
    </row>
    <row r="139" spans="1:9" ht="38.25">
      <c r="A139" s="145"/>
      <c r="B139" s="35"/>
      <c r="C139" s="36"/>
      <c r="D139" s="67" t="s">
        <v>468</v>
      </c>
      <c r="E139" s="71" t="s">
        <v>469</v>
      </c>
      <c r="F139" s="61"/>
      <c r="G139" s="62" t="s">
        <v>21</v>
      </c>
      <c r="H139" s="124">
        <v>518</v>
      </c>
    </row>
    <row r="140" spans="1:9" ht="25.5">
      <c r="A140" s="145"/>
      <c r="B140" s="35"/>
      <c r="C140" s="36"/>
      <c r="D140" s="37"/>
      <c r="E140" s="65" t="s">
        <v>929</v>
      </c>
      <c r="F140" s="90">
        <v>518</v>
      </c>
      <c r="G140" s="40"/>
      <c r="H140" s="128"/>
    </row>
    <row r="141" spans="1:9" ht="38.25">
      <c r="A141" s="145"/>
      <c r="B141" s="35"/>
      <c r="C141" s="36"/>
      <c r="D141" s="67" t="s">
        <v>230</v>
      </c>
      <c r="E141" s="71" t="s">
        <v>231</v>
      </c>
      <c r="F141" s="61"/>
      <c r="G141" s="62" t="s">
        <v>21</v>
      </c>
      <c r="H141" s="124">
        <v>3005</v>
      </c>
    </row>
    <row r="142" spans="1:9" ht="25.5">
      <c r="A142" s="145"/>
      <c r="B142" s="35"/>
      <c r="C142" s="36"/>
      <c r="D142" s="37"/>
      <c r="E142" s="65" t="s">
        <v>1152</v>
      </c>
      <c r="F142" s="90">
        <v>380</v>
      </c>
      <c r="G142" s="40"/>
      <c r="H142" s="30"/>
    </row>
    <row r="143" spans="1:9" ht="25.5">
      <c r="A143" s="145"/>
      <c r="B143" s="35"/>
      <c r="C143" s="36"/>
      <c r="D143" s="37"/>
      <c r="E143" s="65" t="s">
        <v>1153</v>
      </c>
      <c r="F143" s="90">
        <v>140</v>
      </c>
      <c r="G143" s="40"/>
      <c r="H143" s="30"/>
    </row>
    <row r="144" spans="1:9" ht="25.5">
      <c r="A144" s="145"/>
      <c r="B144" s="35"/>
      <c r="C144" s="36"/>
      <c r="D144" s="37"/>
      <c r="E144" s="65" t="s">
        <v>1154</v>
      </c>
      <c r="F144" s="90">
        <v>70</v>
      </c>
      <c r="G144" s="40"/>
      <c r="H144" s="30"/>
    </row>
    <row r="145" spans="1:11" ht="25.5">
      <c r="A145" s="145"/>
      <c r="B145" s="35"/>
      <c r="C145" s="36"/>
      <c r="D145" s="37"/>
      <c r="E145" s="65" t="s">
        <v>1155</v>
      </c>
      <c r="F145" s="138">
        <v>2415</v>
      </c>
      <c r="G145" s="40"/>
      <c r="H145" s="30"/>
    </row>
    <row r="146" spans="1:11">
      <c r="A146" s="145"/>
      <c r="B146" s="35"/>
      <c r="C146" s="36"/>
      <c r="D146" s="37"/>
      <c r="E146" s="65"/>
      <c r="F146" s="90">
        <f>SUM(F142:F145)</f>
        <v>3005</v>
      </c>
      <c r="G146" s="40"/>
      <c r="H146" s="30"/>
      <c r="K146" s="120"/>
    </row>
    <row r="147" spans="1:11">
      <c r="A147" s="145"/>
      <c r="B147" s="35"/>
      <c r="C147" s="36"/>
      <c r="D147" s="37"/>
      <c r="E147" s="65"/>
      <c r="F147" s="90"/>
      <c r="G147" s="40"/>
      <c r="H147" s="30"/>
    </row>
    <row r="148" spans="1:11" ht="38.25">
      <c r="A148" s="34">
        <f>MAX(A$1:A147)+1</f>
        <v>15</v>
      </c>
      <c r="B148" s="35"/>
      <c r="C148" s="36" t="s">
        <v>799</v>
      </c>
      <c r="D148" s="37"/>
      <c r="E148" s="38" t="s">
        <v>800</v>
      </c>
      <c r="F148" s="39"/>
      <c r="G148" s="40" t="s">
        <v>36</v>
      </c>
      <c r="H148" s="128">
        <v>128</v>
      </c>
      <c r="I148" s="695"/>
    </row>
    <row r="149" spans="1:11" ht="25.5">
      <c r="A149" s="145"/>
      <c r="B149" s="35"/>
      <c r="C149" s="36"/>
      <c r="D149" s="67" t="s">
        <v>801</v>
      </c>
      <c r="E149" s="71" t="s">
        <v>802</v>
      </c>
      <c r="F149" s="61"/>
      <c r="G149" s="62" t="s">
        <v>36</v>
      </c>
      <c r="H149" s="124">
        <v>105</v>
      </c>
    </row>
    <row r="150" spans="1:11" ht="25.5">
      <c r="A150" s="145"/>
      <c r="B150" s="35"/>
      <c r="C150" s="36"/>
      <c r="D150" s="37"/>
      <c r="E150" s="65" t="s">
        <v>932</v>
      </c>
      <c r="F150" s="90">
        <v>105</v>
      </c>
      <c r="G150" s="40"/>
      <c r="H150" s="30"/>
    </row>
    <row r="151" spans="1:11" ht="25.5">
      <c r="A151" s="145"/>
      <c r="B151" s="35"/>
      <c r="C151" s="36"/>
      <c r="D151" s="67" t="s">
        <v>1156</v>
      </c>
      <c r="E151" s="71" t="s">
        <v>1157</v>
      </c>
      <c r="F151" s="61"/>
      <c r="G151" s="62" t="s">
        <v>36</v>
      </c>
      <c r="H151" s="124">
        <v>23</v>
      </c>
    </row>
    <row r="152" spans="1:11" ht="25.5">
      <c r="A152" s="145"/>
      <c r="B152" s="35"/>
      <c r="C152" s="36"/>
      <c r="D152" s="37"/>
      <c r="E152" s="65" t="s">
        <v>1158</v>
      </c>
      <c r="F152" s="90">
        <v>23</v>
      </c>
      <c r="G152" s="40"/>
      <c r="H152" s="30"/>
    </row>
    <row r="153" spans="1:11">
      <c r="A153" s="145"/>
      <c r="B153" s="35"/>
      <c r="C153" s="36"/>
      <c r="D153" s="37"/>
      <c r="E153" s="65"/>
      <c r="F153" s="90"/>
      <c r="G153" s="40"/>
      <c r="H153" s="30"/>
    </row>
    <row r="154" spans="1:11" ht="38.25">
      <c r="A154" s="34">
        <f>MAX(A$1:A153)+1</f>
        <v>16</v>
      </c>
      <c r="B154" s="35"/>
      <c r="C154" s="36" t="s">
        <v>455</v>
      </c>
      <c r="D154" s="37"/>
      <c r="E154" s="38" t="s">
        <v>456</v>
      </c>
      <c r="F154" s="39"/>
      <c r="G154" s="40" t="s">
        <v>36</v>
      </c>
      <c r="H154" s="128">
        <v>1230</v>
      </c>
      <c r="I154" s="695"/>
    </row>
    <row r="155" spans="1:11" ht="25.5">
      <c r="A155" s="145"/>
      <c r="B155" s="35"/>
      <c r="C155" s="66"/>
      <c r="D155" s="67" t="s">
        <v>933</v>
      </c>
      <c r="E155" s="71" t="s">
        <v>934</v>
      </c>
      <c r="F155" s="61"/>
      <c r="G155" s="62" t="s">
        <v>36</v>
      </c>
      <c r="H155" s="124">
        <v>790</v>
      </c>
    </row>
    <row r="156" spans="1:11" ht="25.5">
      <c r="A156" s="145"/>
      <c r="B156" s="35"/>
      <c r="C156" s="66"/>
      <c r="D156" s="67"/>
      <c r="E156" s="65" t="s">
        <v>935</v>
      </c>
      <c r="F156" s="46">
        <v>790</v>
      </c>
      <c r="G156" s="62"/>
      <c r="H156" s="30"/>
    </row>
    <row r="157" spans="1:11" ht="25.5">
      <c r="A157" s="145"/>
      <c r="B157" s="35"/>
      <c r="C157" s="66"/>
      <c r="D157" s="67" t="s">
        <v>560</v>
      </c>
      <c r="E157" s="71" t="s">
        <v>803</v>
      </c>
      <c r="F157" s="61"/>
      <c r="G157" s="62" t="s">
        <v>36</v>
      </c>
      <c r="H157" s="124">
        <v>440</v>
      </c>
    </row>
    <row r="158" spans="1:11" ht="25.5">
      <c r="A158" s="145"/>
      <c r="B158" s="35"/>
      <c r="C158" s="36"/>
      <c r="D158" s="37"/>
      <c r="E158" s="65" t="s">
        <v>936</v>
      </c>
      <c r="F158" s="90">
        <v>440</v>
      </c>
      <c r="G158" s="40"/>
      <c r="H158" s="30"/>
    </row>
    <row r="159" spans="1:11">
      <c r="A159" s="145"/>
      <c r="B159" s="35"/>
      <c r="C159" s="36"/>
      <c r="D159" s="37"/>
      <c r="E159" s="65"/>
      <c r="F159" s="90"/>
      <c r="G159" s="40"/>
      <c r="H159" s="30"/>
    </row>
    <row r="160" spans="1:11" ht="38.25">
      <c r="A160" s="34">
        <f>MAX(A$1:A159)+1</f>
        <v>17</v>
      </c>
      <c r="B160" s="35"/>
      <c r="C160" s="36" t="s">
        <v>322</v>
      </c>
      <c r="D160" s="37"/>
      <c r="E160" s="38" t="s">
        <v>323</v>
      </c>
      <c r="F160" s="39"/>
      <c r="G160" s="40" t="s">
        <v>36</v>
      </c>
      <c r="H160" s="128">
        <v>24</v>
      </c>
    </row>
    <row r="161" spans="1:9" ht="26.25">
      <c r="A161" s="145"/>
      <c r="B161" s="35"/>
      <c r="C161" s="36"/>
      <c r="D161" s="37"/>
      <c r="E161" s="68" t="s">
        <v>1159</v>
      </c>
      <c r="F161" s="90">
        <v>24</v>
      </c>
      <c r="G161" s="40"/>
      <c r="H161" s="30"/>
    </row>
    <row r="162" spans="1:9">
      <c r="A162" s="145"/>
      <c r="B162" s="35"/>
      <c r="C162" s="36"/>
      <c r="D162" s="37"/>
      <c r="E162" s="65"/>
      <c r="F162" s="90"/>
      <c r="G162" s="40"/>
      <c r="H162" s="30"/>
    </row>
    <row r="163" spans="1:9" ht="30" customHeight="1">
      <c r="A163" s="34">
        <f>MAX(A$1:A162)+1</f>
        <v>18</v>
      </c>
      <c r="B163" s="35"/>
      <c r="C163" s="36" t="s">
        <v>34</v>
      </c>
      <c r="D163" s="37"/>
      <c r="E163" s="38" t="s">
        <v>35</v>
      </c>
      <c r="F163" s="39"/>
      <c r="G163" s="40" t="s">
        <v>36</v>
      </c>
      <c r="H163" s="128">
        <v>146</v>
      </c>
    </row>
    <row r="164" spans="1:9" ht="25.5">
      <c r="A164" s="145"/>
      <c r="B164" s="35"/>
      <c r="C164" s="36"/>
      <c r="D164" s="37"/>
      <c r="E164" s="65" t="s">
        <v>1160</v>
      </c>
      <c r="F164" s="46">
        <v>40</v>
      </c>
      <c r="G164" s="40"/>
      <c r="H164" s="128"/>
    </row>
    <row r="165" spans="1:9">
      <c r="A165" s="145"/>
      <c r="B165" s="35"/>
      <c r="C165" s="36"/>
      <c r="D165" s="37"/>
      <c r="E165" s="65" t="s">
        <v>1161</v>
      </c>
      <c r="F165" s="138">
        <v>106</v>
      </c>
      <c r="G165" s="40"/>
      <c r="H165" s="30"/>
    </row>
    <row r="166" spans="1:9">
      <c r="A166" s="145"/>
      <c r="B166" s="35"/>
      <c r="C166" s="36"/>
      <c r="D166" s="37"/>
      <c r="E166" s="65"/>
      <c r="F166" s="90">
        <f>SUM(F164:F165)</f>
        <v>146</v>
      </c>
      <c r="G166" s="40"/>
      <c r="H166" s="30"/>
    </row>
    <row r="167" spans="1:9">
      <c r="A167" s="145"/>
      <c r="B167" s="35"/>
      <c r="C167" s="36"/>
      <c r="D167" s="37"/>
      <c r="E167" s="65"/>
      <c r="F167" s="90"/>
      <c r="G167" s="40"/>
      <c r="H167" s="30"/>
    </row>
    <row r="168" spans="1:9" ht="38.25">
      <c r="A168" s="34">
        <f>MAX(A$1:A167)+1</f>
        <v>19</v>
      </c>
      <c r="B168" s="35"/>
      <c r="C168" s="36" t="s">
        <v>32</v>
      </c>
      <c r="D168" s="37"/>
      <c r="E168" s="38" t="s">
        <v>232</v>
      </c>
      <c r="F168" s="39"/>
      <c r="G168" s="40" t="s">
        <v>33</v>
      </c>
      <c r="H168" s="128">
        <v>33</v>
      </c>
      <c r="I168" s="695"/>
    </row>
    <row r="169" spans="1:9" ht="25.5">
      <c r="A169" s="145"/>
      <c r="B169" s="35"/>
      <c r="C169" s="36"/>
      <c r="D169" s="37"/>
      <c r="E169" s="65" t="s">
        <v>937</v>
      </c>
      <c r="F169" s="90">
        <v>23</v>
      </c>
      <c r="G169" s="40"/>
      <c r="H169" s="30"/>
    </row>
    <row r="170" spans="1:9" ht="25.5">
      <c r="A170" s="145"/>
      <c r="B170" s="35"/>
      <c r="C170" s="36"/>
      <c r="D170" s="37"/>
      <c r="E170" s="65" t="s">
        <v>938</v>
      </c>
      <c r="F170" s="90">
        <v>6</v>
      </c>
      <c r="G170" s="40"/>
      <c r="H170" s="30"/>
    </row>
    <row r="171" spans="1:9" ht="25.5">
      <c r="A171" s="145"/>
      <c r="B171" s="35"/>
      <c r="C171" s="36"/>
      <c r="D171" s="37"/>
      <c r="E171" s="65" t="s">
        <v>1162</v>
      </c>
      <c r="F171" s="90">
        <v>2</v>
      </c>
      <c r="G171" s="40"/>
      <c r="H171" s="30"/>
    </row>
    <row r="172" spans="1:9">
      <c r="A172" s="145"/>
      <c r="B172" s="35"/>
      <c r="C172" s="36"/>
      <c r="D172" s="37"/>
      <c r="E172" s="65" t="s">
        <v>1163</v>
      </c>
      <c r="F172" s="138">
        <v>2</v>
      </c>
      <c r="G172" s="40"/>
      <c r="H172" s="30"/>
    </row>
    <row r="173" spans="1:9">
      <c r="A173" s="145"/>
      <c r="B173" s="35"/>
      <c r="C173" s="36"/>
      <c r="D173" s="37"/>
      <c r="E173" s="65"/>
      <c r="F173" s="90">
        <f>SUM(F169:F172)</f>
        <v>33</v>
      </c>
      <c r="G173" s="40"/>
      <c r="H173" s="30"/>
    </row>
    <row r="174" spans="1:9" ht="18.75">
      <c r="A174" s="145"/>
      <c r="B174" s="35"/>
      <c r="C174" s="36"/>
      <c r="D174" s="37"/>
      <c r="E174" s="65"/>
      <c r="F174" s="90"/>
      <c r="G174" s="40"/>
      <c r="H174" s="30"/>
      <c r="I174" s="696"/>
    </row>
    <row r="175" spans="1:9">
      <c r="A175" s="34">
        <f>MAX(A$1:A174)+1</f>
        <v>20</v>
      </c>
      <c r="B175" s="35"/>
      <c r="C175" s="36" t="s">
        <v>37</v>
      </c>
      <c r="D175" s="37"/>
      <c r="E175" s="38" t="s">
        <v>38</v>
      </c>
      <c r="F175" s="39"/>
      <c r="G175" s="40" t="s">
        <v>15</v>
      </c>
      <c r="H175" s="1326">
        <v>3686.15</v>
      </c>
      <c r="I175" s="695"/>
    </row>
    <row r="176" spans="1:9">
      <c r="A176" s="145"/>
      <c r="B176" s="35"/>
      <c r="C176" s="36"/>
      <c r="D176" s="67" t="s">
        <v>507</v>
      </c>
      <c r="E176" s="71" t="s">
        <v>508</v>
      </c>
      <c r="F176" s="61"/>
      <c r="G176" s="62" t="s">
        <v>15</v>
      </c>
      <c r="H176" s="124">
        <v>4.45</v>
      </c>
    </row>
    <row r="177" spans="1:8">
      <c r="A177" s="145"/>
      <c r="B177" s="35"/>
      <c r="C177" s="36"/>
      <c r="D177" s="67"/>
      <c r="E177" s="84" t="s">
        <v>1164</v>
      </c>
      <c r="F177" s="61"/>
      <c r="G177" s="62"/>
      <c r="H177" s="124"/>
    </row>
    <row r="178" spans="1:8" ht="25.5">
      <c r="A178" s="145"/>
      <c r="B178" s="35"/>
      <c r="C178" s="36"/>
      <c r="D178" s="37"/>
      <c r="E178" s="65" t="s">
        <v>1165</v>
      </c>
      <c r="F178" s="90">
        <f>F165*0.042</f>
        <v>4.452</v>
      </c>
      <c r="G178" s="40"/>
      <c r="H178" s="128"/>
    </row>
    <row r="179" spans="1:8">
      <c r="A179" s="145"/>
      <c r="B179" s="35"/>
      <c r="C179" s="36"/>
      <c r="D179" s="67" t="s">
        <v>39</v>
      </c>
      <c r="E179" s="71" t="s">
        <v>40</v>
      </c>
      <c r="F179" s="61"/>
      <c r="G179" s="62" t="s">
        <v>15</v>
      </c>
      <c r="H179" s="1327">
        <v>3681.7</v>
      </c>
    </row>
    <row r="180" spans="1:8">
      <c r="A180" s="145"/>
      <c r="B180" s="35"/>
      <c r="C180" s="36"/>
      <c r="D180" s="67"/>
      <c r="E180" s="84" t="s">
        <v>1166</v>
      </c>
      <c r="F180" s="61"/>
      <c r="G180" s="62"/>
      <c r="H180" s="124"/>
    </row>
    <row r="181" spans="1:8" ht="38.25">
      <c r="A181" s="145"/>
      <c r="B181" s="35"/>
      <c r="C181" s="36"/>
      <c r="D181" s="67"/>
      <c r="E181" s="65" t="s">
        <v>1167</v>
      </c>
      <c r="F181" s="90">
        <f>F145*0.235</f>
        <v>567.52499999999998</v>
      </c>
      <c r="G181" s="62"/>
      <c r="H181" s="124"/>
    </row>
    <row r="182" spans="1:8" ht="26.25">
      <c r="A182" s="145"/>
      <c r="B182" s="35"/>
      <c r="C182" s="36"/>
      <c r="D182" s="67"/>
      <c r="E182" s="68" t="s">
        <v>1168</v>
      </c>
      <c r="F182" s="90">
        <f>F161*0.84</f>
        <v>20.16</v>
      </c>
      <c r="G182" s="62"/>
      <c r="H182" s="124"/>
    </row>
    <row r="183" spans="1:8" ht="25.5">
      <c r="A183" s="145"/>
      <c r="B183" s="35"/>
      <c r="C183" s="36"/>
      <c r="D183" s="67"/>
      <c r="E183" s="65" t="s">
        <v>1169</v>
      </c>
      <c r="F183" s="69">
        <f>F164*0.042</f>
        <v>1.6800000000000002</v>
      </c>
      <c r="G183" s="62"/>
      <c r="H183" s="124"/>
    </row>
    <row r="184" spans="1:8">
      <c r="A184" s="145"/>
      <c r="B184" s="35"/>
      <c r="C184" s="36"/>
      <c r="D184" s="67"/>
      <c r="E184" s="71"/>
      <c r="F184" s="46">
        <f>SUM(F181:F183)</f>
        <v>589.3649999999999</v>
      </c>
      <c r="G184" s="62"/>
      <c r="H184" s="124"/>
    </row>
    <row r="185" spans="1:8">
      <c r="A185" s="145"/>
      <c r="B185" s="35"/>
      <c r="C185" s="36"/>
      <c r="D185" s="67"/>
      <c r="E185" s="71"/>
      <c r="F185" s="46"/>
      <c r="G185" s="62"/>
      <c r="H185" s="124"/>
    </row>
    <row r="186" spans="1:8">
      <c r="A186" s="145"/>
      <c r="B186" s="35"/>
      <c r="C186" s="36"/>
      <c r="D186" s="67"/>
      <c r="E186" s="168" t="s">
        <v>1170</v>
      </c>
      <c r="F186" s="170">
        <v>0.05</v>
      </c>
      <c r="G186" s="62"/>
      <c r="H186" s="124"/>
    </row>
    <row r="187" spans="1:8">
      <c r="A187" s="145"/>
      <c r="B187" s="35"/>
      <c r="C187" s="36"/>
      <c r="D187" s="67"/>
      <c r="E187" s="71"/>
      <c r="F187" s="46"/>
      <c r="G187" s="62"/>
      <c r="H187" s="124"/>
    </row>
    <row r="188" spans="1:8">
      <c r="A188" s="145"/>
      <c r="B188" s="35"/>
      <c r="C188" s="36"/>
      <c r="D188" s="67"/>
      <c r="E188" s="84" t="s">
        <v>71</v>
      </c>
      <c r="F188" s="61"/>
      <c r="G188" s="62"/>
      <c r="H188" s="30"/>
    </row>
    <row r="189" spans="1:8" ht="25.5">
      <c r="A189" s="145"/>
      <c r="B189" s="35"/>
      <c r="C189" s="36"/>
      <c r="D189" s="67"/>
      <c r="E189" s="65" t="s">
        <v>1171</v>
      </c>
      <c r="F189" s="46">
        <f>F71*2.2</f>
        <v>7.92</v>
      </c>
      <c r="G189" s="62"/>
      <c r="H189" s="30"/>
    </row>
    <row r="190" spans="1:8" ht="25.5">
      <c r="A190" s="145"/>
      <c r="B190" s="35"/>
      <c r="C190" s="36"/>
      <c r="D190" s="67"/>
      <c r="E190" s="65" t="s">
        <v>1172</v>
      </c>
      <c r="F190" s="46">
        <f>F72*2.2</f>
        <v>7.92</v>
      </c>
      <c r="G190" s="62"/>
      <c r="H190" s="30"/>
    </row>
    <row r="191" spans="1:8">
      <c r="A191" s="145"/>
      <c r="B191" s="35"/>
      <c r="C191" s="36"/>
      <c r="D191" s="67"/>
      <c r="E191" s="65" t="s">
        <v>1173</v>
      </c>
      <c r="F191" s="46">
        <f>F90*0.001</f>
        <v>0.06</v>
      </c>
      <c r="G191" s="62"/>
      <c r="H191" s="30"/>
    </row>
    <row r="192" spans="1:8" ht="25.5">
      <c r="A192" s="145"/>
      <c r="B192" s="35"/>
      <c r="C192" s="36"/>
      <c r="D192" s="67"/>
      <c r="E192" s="65" t="s">
        <v>1174</v>
      </c>
      <c r="F192" s="46">
        <f>F99*0.44</f>
        <v>92.4</v>
      </c>
      <c r="G192" s="62"/>
      <c r="H192" s="30"/>
    </row>
    <row r="193" spans="1:8" ht="26.25">
      <c r="A193" s="145"/>
      <c r="B193" s="35"/>
      <c r="C193" s="36"/>
      <c r="D193" s="67"/>
      <c r="E193" s="68" t="s">
        <v>1175</v>
      </c>
      <c r="F193" s="46">
        <f>F101*0.66</f>
        <v>91.08</v>
      </c>
      <c r="G193" s="62"/>
      <c r="H193" s="30"/>
    </row>
    <row r="194" spans="1:8" ht="26.25">
      <c r="A194" s="145"/>
      <c r="B194" s="35"/>
      <c r="C194" s="36"/>
      <c r="D194" s="67"/>
      <c r="E194" s="678" t="s">
        <v>1176</v>
      </c>
      <c r="F194" s="90">
        <f>F102*0.66</f>
        <v>10.295999999999999</v>
      </c>
      <c r="G194" s="62"/>
      <c r="H194" s="30"/>
    </row>
    <row r="195" spans="1:8" ht="25.5">
      <c r="A195" s="145"/>
      <c r="B195" s="35"/>
      <c r="C195" s="36"/>
      <c r="D195" s="67"/>
      <c r="E195" s="65" t="s">
        <v>1177</v>
      </c>
      <c r="F195" s="46">
        <f>F107*0.181</f>
        <v>37.466999999999999</v>
      </c>
      <c r="G195" s="62"/>
      <c r="H195" s="30"/>
    </row>
    <row r="196" spans="1:8" ht="25.5">
      <c r="A196" s="145"/>
      <c r="B196" s="35"/>
      <c r="C196" s="36"/>
      <c r="D196" s="67"/>
      <c r="E196" s="65" t="s">
        <v>1178</v>
      </c>
      <c r="F196" s="90">
        <f>F108*0.181</f>
        <v>383.71999999999997</v>
      </c>
      <c r="G196" s="62"/>
      <c r="H196" s="30"/>
    </row>
    <row r="197" spans="1:8" ht="25.5">
      <c r="A197" s="145"/>
      <c r="B197" s="35"/>
      <c r="C197" s="36"/>
      <c r="D197" s="67"/>
      <c r="E197" s="65" t="s">
        <v>1179</v>
      </c>
      <c r="F197" s="46">
        <f>F113*0.288</f>
        <v>24.479999999999997</v>
      </c>
      <c r="G197" s="62"/>
      <c r="H197" s="30"/>
    </row>
    <row r="198" spans="1:8" ht="25.5">
      <c r="A198" s="145"/>
      <c r="B198" s="35"/>
      <c r="C198" s="36"/>
      <c r="D198" s="67"/>
      <c r="E198" s="65" t="s">
        <v>1180</v>
      </c>
      <c r="F198" s="90">
        <f>F114*0.288</f>
        <v>124.70399999999999</v>
      </c>
      <c r="G198" s="62"/>
      <c r="H198" s="30"/>
    </row>
    <row r="199" spans="1:8" ht="26.25">
      <c r="A199" s="145"/>
      <c r="B199" s="35"/>
      <c r="C199" s="36"/>
      <c r="D199" s="67"/>
      <c r="E199" s="68" t="s">
        <v>1181</v>
      </c>
      <c r="F199" s="90">
        <f>F115*0.288</f>
        <v>49.535999999999994</v>
      </c>
      <c r="G199" s="62"/>
      <c r="H199" s="30"/>
    </row>
    <row r="200" spans="1:8" ht="26.25">
      <c r="A200" s="145"/>
      <c r="B200" s="35"/>
      <c r="C200" s="36"/>
      <c r="D200" s="67"/>
      <c r="E200" s="68" t="s">
        <v>1182</v>
      </c>
      <c r="F200" s="90">
        <f>F116*0.288</f>
        <v>25.2</v>
      </c>
      <c r="G200" s="62"/>
      <c r="H200" s="30"/>
    </row>
    <row r="201" spans="1:8" ht="25.5">
      <c r="A201" s="145"/>
      <c r="B201" s="35"/>
      <c r="C201" s="36"/>
      <c r="D201" s="67"/>
      <c r="E201" s="65" t="s">
        <v>1183</v>
      </c>
      <c r="F201" s="90">
        <f>F121*0.22</f>
        <v>466.4</v>
      </c>
      <c r="G201" s="62"/>
      <c r="H201" s="30"/>
    </row>
    <row r="202" spans="1:8" ht="25.5">
      <c r="A202" s="145"/>
      <c r="B202" s="35"/>
      <c r="C202" s="36"/>
      <c r="D202" s="67"/>
      <c r="E202" s="65" t="s">
        <v>1184</v>
      </c>
      <c r="F202" s="90">
        <f>F123*0.44</f>
        <v>167.2</v>
      </c>
      <c r="G202" s="62"/>
      <c r="H202" s="30"/>
    </row>
    <row r="203" spans="1:8" ht="25.5">
      <c r="A203" s="145"/>
      <c r="B203" s="35"/>
      <c r="C203" s="36"/>
      <c r="D203" s="67"/>
      <c r="E203" s="65" t="s">
        <v>1185</v>
      </c>
      <c r="F203" s="90">
        <f>F124*0.44</f>
        <v>60.72</v>
      </c>
      <c r="G203" s="62"/>
      <c r="H203" s="30"/>
    </row>
    <row r="204" spans="1:8" ht="25.5">
      <c r="A204" s="145"/>
      <c r="B204" s="35"/>
      <c r="C204" s="36"/>
      <c r="D204" s="67"/>
      <c r="E204" s="65" t="s">
        <v>1186</v>
      </c>
      <c r="F204" s="90">
        <f>F125*0.44</f>
        <v>30.8</v>
      </c>
      <c r="G204" s="62"/>
      <c r="H204" s="30"/>
    </row>
    <row r="205" spans="1:8" ht="25.5">
      <c r="A205" s="145"/>
      <c r="B205" s="35"/>
      <c r="C205" s="36"/>
      <c r="D205" s="67"/>
      <c r="E205" s="65" t="s">
        <v>1187</v>
      </c>
      <c r="F205" s="90">
        <f>F128*0.66</f>
        <v>21.12</v>
      </c>
      <c r="G205" s="62"/>
      <c r="H205" s="30"/>
    </row>
    <row r="206" spans="1:8" ht="25.5">
      <c r="A206" s="145"/>
      <c r="B206" s="35"/>
      <c r="C206" s="36"/>
      <c r="D206" s="67"/>
      <c r="E206" s="65" t="s">
        <v>1188</v>
      </c>
      <c r="F206" s="90">
        <f>F132*0.181</f>
        <v>106.78999999999999</v>
      </c>
      <c r="G206" s="62"/>
      <c r="H206" s="30"/>
    </row>
    <row r="207" spans="1:8" ht="25.5">
      <c r="A207" s="145"/>
      <c r="B207" s="35"/>
      <c r="C207" s="36"/>
      <c r="D207" s="67"/>
      <c r="E207" s="65" t="s">
        <v>1189</v>
      </c>
      <c r="F207" s="90">
        <f>F133*0.181</f>
        <v>68.78</v>
      </c>
      <c r="G207" s="62"/>
      <c r="H207" s="30"/>
    </row>
    <row r="208" spans="1:8" ht="38.25">
      <c r="A208" s="145"/>
      <c r="B208" s="35"/>
      <c r="C208" s="36"/>
      <c r="D208" s="67"/>
      <c r="E208" s="65" t="s">
        <v>1190</v>
      </c>
      <c r="F208" s="90">
        <f>F134*0.181</f>
        <v>24.977999999999998</v>
      </c>
      <c r="G208" s="62"/>
      <c r="H208" s="30"/>
    </row>
    <row r="209" spans="1:8" ht="25.5">
      <c r="A209" s="145"/>
      <c r="B209" s="35"/>
      <c r="C209" s="36"/>
      <c r="D209" s="67"/>
      <c r="E209" s="65" t="s">
        <v>1191</v>
      </c>
      <c r="F209" s="90">
        <f>F135*0.181</f>
        <v>21.72</v>
      </c>
      <c r="G209" s="62"/>
      <c r="H209" s="30"/>
    </row>
    <row r="210" spans="1:8" ht="25.5">
      <c r="A210" s="145"/>
      <c r="B210" s="35"/>
      <c r="C210" s="36"/>
      <c r="D210" s="67"/>
      <c r="E210" s="65" t="s">
        <v>1192</v>
      </c>
      <c r="F210" s="90">
        <f>F140*0.13</f>
        <v>67.34</v>
      </c>
      <c r="G210" s="62"/>
      <c r="H210" s="30"/>
    </row>
    <row r="211" spans="1:8" ht="25.5">
      <c r="A211" s="145"/>
      <c r="B211" s="35"/>
      <c r="C211" s="36"/>
      <c r="D211" s="67"/>
      <c r="E211" s="65" t="s">
        <v>1193</v>
      </c>
      <c r="F211" s="90">
        <f>F142*0.235</f>
        <v>89.3</v>
      </c>
      <c r="G211" s="62"/>
      <c r="H211" s="30"/>
    </row>
    <row r="212" spans="1:8" ht="38.25">
      <c r="A212" s="145"/>
      <c r="B212" s="35"/>
      <c r="C212" s="36"/>
      <c r="D212" s="67"/>
      <c r="E212" s="65" t="s">
        <v>1194</v>
      </c>
      <c r="F212" s="90">
        <f>F143*0.235</f>
        <v>32.9</v>
      </c>
      <c r="G212" s="62"/>
      <c r="H212" s="30"/>
    </row>
    <row r="213" spans="1:8" ht="25.5">
      <c r="A213" s="145"/>
      <c r="B213" s="35"/>
      <c r="C213" s="36"/>
      <c r="D213" s="67"/>
      <c r="E213" s="65" t="s">
        <v>1195</v>
      </c>
      <c r="F213" s="90">
        <f>F144*0.235</f>
        <v>16.45</v>
      </c>
      <c r="G213" s="62"/>
      <c r="H213" s="30"/>
    </row>
    <row r="214" spans="1:8" ht="25.5">
      <c r="A214" s="145"/>
      <c r="B214" s="35"/>
      <c r="C214" s="36"/>
      <c r="D214" s="67"/>
      <c r="E214" s="65" t="s">
        <v>1196</v>
      </c>
      <c r="F214" s="90">
        <f>F150*0.24</f>
        <v>25.2</v>
      </c>
      <c r="G214" s="62"/>
      <c r="H214" s="30"/>
    </row>
    <row r="215" spans="1:8" ht="25.5">
      <c r="A215" s="145"/>
      <c r="B215" s="35"/>
      <c r="C215" s="36"/>
      <c r="D215" s="67"/>
      <c r="E215" s="65" t="s">
        <v>1197</v>
      </c>
      <c r="F215" s="90">
        <f>F152*0.07</f>
        <v>1.61</v>
      </c>
      <c r="G215" s="62"/>
      <c r="H215" s="30"/>
    </row>
    <row r="216" spans="1:8" ht="25.5">
      <c r="A216" s="145"/>
      <c r="B216" s="35"/>
      <c r="C216" s="36"/>
      <c r="D216" s="67"/>
      <c r="E216" s="65" t="s">
        <v>1198</v>
      </c>
      <c r="F216" s="46">
        <f>F156*0.23</f>
        <v>181.70000000000002</v>
      </c>
      <c r="G216" s="62"/>
      <c r="H216" s="30"/>
    </row>
    <row r="217" spans="1:8" ht="25.5">
      <c r="A217" s="145"/>
      <c r="B217" s="35"/>
      <c r="C217" s="36"/>
      <c r="D217" s="67"/>
      <c r="E217" s="65" t="s">
        <v>1199</v>
      </c>
      <c r="F217" s="90">
        <f>F158*0.04</f>
        <v>17.600000000000001</v>
      </c>
      <c r="G217" s="62"/>
      <c r="H217" s="30"/>
    </row>
    <row r="218" spans="1:8" ht="26.25">
      <c r="A218" s="145"/>
      <c r="B218" s="35"/>
      <c r="C218" s="36"/>
      <c r="D218" s="67"/>
      <c r="E218" s="68" t="s">
        <v>1200</v>
      </c>
      <c r="F218" s="90">
        <f>F235*0.153</f>
        <v>826.50599999999997</v>
      </c>
      <c r="G218" s="62"/>
      <c r="H218" s="30"/>
    </row>
    <row r="219" spans="1:8" ht="39">
      <c r="A219" s="145"/>
      <c r="B219" s="35"/>
      <c r="C219" s="36"/>
      <c r="D219" s="67"/>
      <c r="E219" s="1320" t="s">
        <v>3190</v>
      </c>
      <c r="F219" s="1321">
        <f>F239*0.004</f>
        <v>0.13200000000000001</v>
      </c>
      <c r="G219" s="62"/>
      <c r="H219" s="30"/>
    </row>
    <row r="220" spans="1:8" ht="30" customHeight="1">
      <c r="A220" s="145"/>
      <c r="B220" s="35"/>
      <c r="C220" s="36"/>
      <c r="D220" s="67"/>
      <c r="E220" s="1320" t="s">
        <v>3191</v>
      </c>
      <c r="F220" s="1324">
        <f>F243*0.004</f>
        <v>0.14799999999999999</v>
      </c>
      <c r="G220" s="62"/>
      <c r="H220" s="30"/>
    </row>
    <row r="221" spans="1:8">
      <c r="A221" s="145"/>
      <c r="B221" s="35"/>
      <c r="C221" s="36"/>
      <c r="D221" s="67"/>
      <c r="E221" s="65"/>
      <c r="F221" s="1321">
        <f>SUM(F189:F220)</f>
        <v>3082.1769999999997</v>
      </c>
      <c r="G221" s="62"/>
      <c r="H221" s="30"/>
    </row>
    <row r="222" spans="1:8">
      <c r="A222" s="145"/>
      <c r="B222" s="35"/>
      <c r="C222" s="36"/>
      <c r="D222" s="67"/>
      <c r="E222" s="65"/>
      <c r="F222" s="90"/>
      <c r="G222" s="62"/>
      <c r="H222" s="30"/>
    </row>
    <row r="223" spans="1:8">
      <c r="A223" s="145"/>
      <c r="B223" s="35"/>
      <c r="C223" s="36"/>
      <c r="D223" s="67"/>
      <c r="E223" s="84" t="s">
        <v>142</v>
      </c>
      <c r="F223" s="90"/>
      <c r="G223" s="62"/>
      <c r="H223" s="30"/>
    </row>
    <row r="224" spans="1:8">
      <c r="A224" s="145"/>
      <c r="B224" s="35"/>
      <c r="C224" s="36"/>
      <c r="D224" s="67"/>
      <c r="E224" s="65" t="s">
        <v>1201</v>
      </c>
      <c r="F224" s="90">
        <v>3</v>
      </c>
      <c r="G224" s="62"/>
      <c r="H224" s="30"/>
    </row>
    <row r="225" spans="1:12">
      <c r="A225" s="145"/>
      <c r="B225" s="35"/>
      <c r="C225" s="36"/>
      <c r="D225" s="67"/>
      <c r="E225" s="65" t="s">
        <v>1202</v>
      </c>
      <c r="F225" s="90">
        <v>4.4000000000000004</v>
      </c>
      <c r="G225" s="62"/>
      <c r="H225" s="30"/>
    </row>
    <row r="226" spans="1:12" ht="25.5">
      <c r="A226" s="145"/>
      <c r="B226" s="35"/>
      <c r="C226" s="36"/>
      <c r="D226" s="67"/>
      <c r="E226" s="65" t="s">
        <v>1203</v>
      </c>
      <c r="F226" s="90">
        <f>F169*0.082</f>
        <v>1.8860000000000001</v>
      </c>
      <c r="G226" s="62"/>
      <c r="H226" s="30"/>
    </row>
    <row r="227" spans="1:12" ht="25.5">
      <c r="A227" s="145"/>
      <c r="B227" s="35"/>
      <c r="C227" s="36"/>
      <c r="D227" s="67"/>
      <c r="E227" s="65" t="s">
        <v>957</v>
      </c>
      <c r="F227" s="90">
        <f>F170*0.082</f>
        <v>0.49199999999999999</v>
      </c>
      <c r="G227" s="62"/>
      <c r="H227" s="30"/>
    </row>
    <row r="228" spans="1:12" ht="25.5">
      <c r="A228" s="145"/>
      <c r="B228" s="35"/>
      <c r="C228" s="36"/>
      <c r="D228" s="67"/>
      <c r="E228" s="65" t="s">
        <v>1204</v>
      </c>
      <c r="F228" s="90">
        <f>F171*0.082</f>
        <v>0.16400000000000001</v>
      </c>
      <c r="G228" s="62"/>
      <c r="H228" s="30"/>
    </row>
    <row r="229" spans="1:12" ht="26.25">
      <c r="A229" s="145"/>
      <c r="B229" s="35"/>
      <c r="C229" s="36"/>
      <c r="D229" s="67"/>
      <c r="E229" s="76" t="s">
        <v>1205</v>
      </c>
      <c r="F229" s="138">
        <f>F172*0.082</f>
        <v>0.16400000000000001</v>
      </c>
      <c r="G229" s="62"/>
      <c r="H229" s="30"/>
    </row>
    <row r="230" spans="1:12">
      <c r="A230" s="145"/>
      <c r="B230" s="35"/>
      <c r="C230" s="36"/>
      <c r="D230" s="67"/>
      <c r="E230" s="65"/>
      <c r="F230" s="90">
        <f>SUM(F224:F229)</f>
        <v>10.106000000000002</v>
      </c>
      <c r="G230" s="62"/>
      <c r="H230" s="30"/>
      <c r="L230" s="120"/>
    </row>
    <row r="231" spans="1:12">
      <c r="A231" s="145"/>
      <c r="B231" s="35"/>
      <c r="C231" s="36"/>
      <c r="D231" s="67"/>
      <c r="E231" s="91" t="s">
        <v>41</v>
      </c>
      <c r="F231" s="1328">
        <f>F184+F186+F221+F230</f>
        <v>3681.6979999999999</v>
      </c>
      <c r="G231" s="62"/>
      <c r="H231" s="30"/>
    </row>
    <row r="232" spans="1:12">
      <c r="A232" s="145"/>
      <c r="B232" s="35"/>
      <c r="C232" s="36"/>
      <c r="D232" s="67"/>
      <c r="E232" s="65"/>
      <c r="F232" s="90"/>
      <c r="G232" s="62"/>
      <c r="H232" s="30"/>
    </row>
    <row r="233" spans="1:12" ht="25.5">
      <c r="A233" s="34">
        <f>MAX(A$1:A232)+1</f>
        <v>21</v>
      </c>
      <c r="B233" s="35"/>
      <c r="C233" s="36" t="s">
        <v>42</v>
      </c>
      <c r="D233" s="37"/>
      <c r="E233" s="38" t="s">
        <v>43</v>
      </c>
      <c r="F233" s="39"/>
      <c r="G233" s="40" t="s">
        <v>21</v>
      </c>
      <c r="H233" s="128">
        <v>5402</v>
      </c>
    </row>
    <row r="234" spans="1:12" ht="25.5">
      <c r="A234" s="145"/>
      <c r="B234" s="35"/>
      <c r="C234" s="36"/>
      <c r="D234" s="67" t="s">
        <v>349</v>
      </c>
      <c r="E234" s="71" t="s">
        <v>350</v>
      </c>
      <c r="F234" s="61"/>
      <c r="G234" s="62" t="s">
        <v>21</v>
      </c>
      <c r="H234" s="124">
        <v>5402</v>
      </c>
    </row>
    <row r="235" spans="1:12" ht="26.25">
      <c r="A235" s="145"/>
      <c r="B235" s="35"/>
      <c r="C235" s="36"/>
      <c r="D235" s="37"/>
      <c r="E235" s="68" t="s">
        <v>1206</v>
      </c>
      <c r="F235" s="90">
        <v>5402</v>
      </c>
      <c r="G235" s="40"/>
      <c r="H235" s="30"/>
    </row>
    <row r="236" spans="1:12">
      <c r="A236" s="145"/>
      <c r="B236" s="35"/>
      <c r="C236" s="36"/>
      <c r="D236" s="37"/>
      <c r="E236" s="68"/>
      <c r="F236" s="90"/>
      <c r="G236" s="40"/>
      <c r="H236" s="30"/>
    </row>
    <row r="237" spans="1:12" ht="25.5">
      <c r="A237" s="1319">
        <f>MAX(A$1:A235)+1</f>
        <v>22</v>
      </c>
      <c r="B237" s="35"/>
      <c r="C237" s="1310" t="s">
        <v>3180</v>
      </c>
      <c r="D237" s="1311"/>
      <c r="E237" s="1312" t="s">
        <v>3181</v>
      </c>
      <c r="F237" s="303"/>
      <c r="G237" s="1313" t="s">
        <v>21</v>
      </c>
      <c r="H237" s="1322">
        <v>33</v>
      </c>
    </row>
    <row r="238" spans="1:12" ht="25.5">
      <c r="A238" s="145"/>
      <c r="B238" s="35"/>
      <c r="C238" s="36"/>
      <c r="D238" s="1315" t="s">
        <v>3182</v>
      </c>
      <c r="E238" s="1316" t="s">
        <v>3183</v>
      </c>
      <c r="F238" s="1317"/>
      <c r="G238" s="1318" t="s">
        <v>21</v>
      </c>
      <c r="H238" s="1323">
        <v>33</v>
      </c>
    </row>
    <row r="239" spans="1:12" ht="26.25">
      <c r="A239" s="145"/>
      <c r="B239" s="35"/>
      <c r="C239" s="36"/>
      <c r="D239" s="37"/>
      <c r="E239" s="1320" t="s">
        <v>3184</v>
      </c>
      <c r="F239" s="1321">
        <v>33</v>
      </c>
      <c r="G239" s="40"/>
      <c r="H239" s="30"/>
    </row>
    <row r="240" spans="1:12">
      <c r="A240" s="145"/>
      <c r="B240" s="35"/>
      <c r="C240" s="36"/>
      <c r="D240" s="37"/>
      <c r="E240" s="68"/>
      <c r="F240" s="90"/>
      <c r="G240" s="40"/>
      <c r="H240" s="30"/>
    </row>
    <row r="241" spans="1:21" ht="25.5">
      <c r="A241" s="1319">
        <f>MAX(A$1:A240)+1</f>
        <v>23</v>
      </c>
      <c r="B241" s="73"/>
      <c r="C241" s="1310" t="s">
        <v>3178</v>
      </c>
      <c r="D241" s="1311"/>
      <c r="E241" s="1312" t="s">
        <v>3179</v>
      </c>
      <c r="F241" s="303"/>
      <c r="G241" s="1313" t="s">
        <v>21</v>
      </c>
      <c r="H241" s="1322">
        <v>37</v>
      </c>
      <c r="I241"/>
      <c r="U241"/>
    </row>
    <row r="242" spans="1:21" ht="25.5">
      <c r="A242" s="72"/>
      <c r="B242" s="73"/>
      <c r="C242" s="1314"/>
      <c r="D242" s="1315" t="s">
        <v>3188</v>
      </c>
      <c r="E242" s="1316" t="s">
        <v>3189</v>
      </c>
      <c r="F242" s="1317"/>
      <c r="G242" s="1318" t="s">
        <v>21</v>
      </c>
      <c r="H242" s="1323">
        <v>37</v>
      </c>
      <c r="I242"/>
      <c r="U242"/>
    </row>
    <row r="243" spans="1:21" ht="26.25">
      <c r="A243" s="145"/>
      <c r="B243" s="35"/>
      <c r="C243" s="36"/>
      <c r="D243" s="37"/>
      <c r="E243" s="1320" t="s">
        <v>3185</v>
      </c>
      <c r="F243" s="1321">
        <v>37</v>
      </c>
      <c r="G243" s="40"/>
      <c r="H243" s="30"/>
      <c r="K243" s="120"/>
    </row>
    <row r="244" spans="1:21">
      <c r="A244" s="145"/>
      <c r="B244" s="35"/>
      <c r="C244" s="36"/>
      <c r="D244" s="37"/>
      <c r="E244" s="68"/>
      <c r="F244" s="90"/>
      <c r="G244" s="40"/>
      <c r="H244" s="30"/>
    </row>
    <row r="245" spans="1:21" ht="25.5">
      <c r="A245" s="34">
        <f>MAX(A$1:A244)+1</f>
        <v>24</v>
      </c>
      <c r="B245" s="35"/>
      <c r="C245" s="36" t="s">
        <v>280</v>
      </c>
      <c r="D245" s="37"/>
      <c r="E245" s="38" t="s">
        <v>281</v>
      </c>
      <c r="F245" s="39"/>
      <c r="G245" s="40" t="s">
        <v>36</v>
      </c>
      <c r="H245" s="128">
        <v>42</v>
      </c>
    </row>
    <row r="246" spans="1:21" ht="25.5">
      <c r="A246" s="145"/>
      <c r="B246" s="35"/>
      <c r="C246" s="66"/>
      <c r="D246" s="67" t="s">
        <v>964</v>
      </c>
      <c r="E246" s="71" t="s">
        <v>965</v>
      </c>
      <c r="F246" s="61"/>
      <c r="G246" s="62" t="s">
        <v>36</v>
      </c>
      <c r="H246" s="124">
        <v>42</v>
      </c>
    </row>
    <row r="247" spans="1:21">
      <c r="A247" s="145"/>
      <c r="B247" s="35"/>
      <c r="C247" s="36"/>
      <c r="D247" s="37"/>
      <c r="E247" s="68" t="s">
        <v>1207</v>
      </c>
      <c r="F247" s="90">
        <v>42</v>
      </c>
      <c r="G247" s="40"/>
      <c r="H247" s="30"/>
    </row>
    <row r="248" spans="1:21">
      <c r="A248" s="145"/>
      <c r="B248" s="35"/>
      <c r="C248" s="36"/>
      <c r="D248" s="37"/>
      <c r="E248" s="68"/>
      <c r="F248" s="90"/>
      <c r="G248" s="40"/>
      <c r="H248" s="30"/>
    </row>
    <row r="249" spans="1:21" ht="25.5">
      <c r="A249" s="34">
        <f>MAX(A$1:A248)+1</f>
        <v>25</v>
      </c>
      <c r="B249" s="35"/>
      <c r="C249" s="36" t="s">
        <v>233</v>
      </c>
      <c r="D249" s="37"/>
      <c r="E249" s="38" t="s">
        <v>234</v>
      </c>
      <c r="F249" s="39"/>
      <c r="G249" s="40" t="s">
        <v>36</v>
      </c>
      <c r="H249" s="128">
        <v>5267</v>
      </c>
      <c r="I249" s="695"/>
    </row>
    <row r="250" spans="1:21" ht="25.5">
      <c r="A250" s="145"/>
      <c r="B250" s="35"/>
      <c r="C250" s="36"/>
      <c r="D250" s="67" t="s">
        <v>235</v>
      </c>
      <c r="E250" s="71" t="s">
        <v>236</v>
      </c>
      <c r="F250" s="61"/>
      <c r="G250" s="62" t="s">
        <v>36</v>
      </c>
      <c r="H250" s="124">
        <v>3111</v>
      </c>
    </row>
    <row r="251" spans="1:21">
      <c r="A251" s="145"/>
      <c r="B251" s="35"/>
      <c r="C251" s="36"/>
      <c r="D251" s="37"/>
      <c r="E251" s="65" t="s">
        <v>967</v>
      </c>
      <c r="F251" s="90">
        <v>3111</v>
      </c>
      <c r="G251" s="40"/>
      <c r="H251" s="128"/>
    </row>
    <row r="252" spans="1:21" ht="25.5">
      <c r="A252" s="145"/>
      <c r="B252" s="35"/>
      <c r="C252" s="36"/>
      <c r="D252" s="67" t="s">
        <v>449</v>
      </c>
      <c r="E252" s="71" t="s">
        <v>450</v>
      </c>
      <c r="F252" s="61"/>
      <c r="G252" s="62" t="s">
        <v>36</v>
      </c>
      <c r="H252" s="124">
        <v>1711</v>
      </c>
    </row>
    <row r="253" spans="1:21">
      <c r="A253" s="145"/>
      <c r="B253" s="35"/>
      <c r="C253" s="36"/>
      <c r="D253" s="37"/>
      <c r="E253" s="68" t="s">
        <v>968</v>
      </c>
      <c r="F253" s="90">
        <v>1711</v>
      </c>
      <c r="G253" s="40"/>
      <c r="H253" s="128"/>
    </row>
    <row r="254" spans="1:21" ht="25.5">
      <c r="A254" s="145"/>
      <c r="B254" s="35"/>
      <c r="C254" s="36"/>
      <c r="D254" s="67" t="s">
        <v>282</v>
      </c>
      <c r="E254" s="71" t="s">
        <v>283</v>
      </c>
      <c r="F254" s="61"/>
      <c r="G254" s="62" t="s">
        <v>36</v>
      </c>
      <c r="H254" s="124">
        <v>445</v>
      </c>
    </row>
    <row r="255" spans="1:21">
      <c r="A255" s="145"/>
      <c r="B255" s="35"/>
      <c r="C255" s="36"/>
      <c r="D255" s="37"/>
      <c r="E255" s="68" t="s">
        <v>969</v>
      </c>
      <c r="F255" s="90">
        <v>445</v>
      </c>
      <c r="G255" s="40"/>
      <c r="H255" s="30"/>
    </row>
    <row r="256" spans="1:21">
      <c r="A256" s="145"/>
      <c r="B256" s="35"/>
      <c r="C256" s="36"/>
      <c r="D256" s="37"/>
      <c r="E256" s="68"/>
      <c r="F256" s="90"/>
      <c r="G256" s="40"/>
      <c r="H256" s="30"/>
    </row>
    <row r="257" spans="1:8">
      <c r="A257" s="145"/>
      <c r="B257" s="35" t="s">
        <v>44</v>
      </c>
      <c r="C257" s="93"/>
      <c r="D257" s="94"/>
      <c r="E257" s="96" t="s">
        <v>45</v>
      </c>
      <c r="F257" s="46"/>
      <c r="G257" s="40"/>
      <c r="H257" s="30"/>
    </row>
    <row r="258" spans="1:8">
      <c r="A258" s="145"/>
      <c r="B258" s="31"/>
      <c r="C258" s="36"/>
      <c r="D258" s="37"/>
      <c r="E258" s="38"/>
      <c r="F258" s="46"/>
      <c r="G258" s="40"/>
      <c r="H258" s="30"/>
    </row>
    <row r="259" spans="1:8">
      <c r="A259" s="34">
        <f>MAX(A$1:A258)+1</f>
        <v>26</v>
      </c>
      <c r="B259" s="31"/>
      <c r="C259" s="36" t="s">
        <v>284</v>
      </c>
      <c r="D259" s="37"/>
      <c r="E259" s="38" t="s">
        <v>285</v>
      </c>
      <c r="F259" s="39"/>
      <c r="G259" s="40" t="s">
        <v>21</v>
      </c>
      <c r="H259" s="128">
        <v>2312</v>
      </c>
    </row>
    <row r="260" spans="1:8">
      <c r="A260" s="145"/>
      <c r="B260" s="31"/>
      <c r="C260" s="66"/>
      <c r="D260" s="67" t="s">
        <v>286</v>
      </c>
      <c r="E260" s="71" t="s">
        <v>287</v>
      </c>
      <c r="F260" s="61"/>
      <c r="G260" s="62" t="s">
        <v>21</v>
      </c>
      <c r="H260" s="124">
        <v>2312</v>
      </c>
    </row>
    <row r="261" spans="1:8">
      <c r="A261" s="145"/>
      <c r="B261" s="31"/>
      <c r="C261" s="66"/>
      <c r="D261" s="67"/>
      <c r="E261" s="65" t="s">
        <v>970</v>
      </c>
      <c r="F261" s="90">
        <v>2312</v>
      </c>
      <c r="G261" s="62"/>
      <c r="H261" s="30"/>
    </row>
    <row r="262" spans="1:8">
      <c r="A262" s="145"/>
      <c r="B262" s="31"/>
      <c r="C262" s="66"/>
      <c r="D262" s="67"/>
      <c r="E262" s="71"/>
      <c r="F262" s="61"/>
      <c r="G262" s="62"/>
      <c r="H262" s="30"/>
    </row>
    <row r="263" spans="1:8">
      <c r="A263" s="34">
        <f>MAX(A$1:A262)+1</f>
        <v>27</v>
      </c>
      <c r="B263" s="89"/>
      <c r="C263" s="36" t="s">
        <v>50</v>
      </c>
      <c r="D263" s="37"/>
      <c r="E263" s="38" t="s">
        <v>51</v>
      </c>
      <c r="F263" s="39"/>
      <c r="G263" s="40" t="s">
        <v>18</v>
      </c>
      <c r="H263" s="128">
        <v>231.20000000000002</v>
      </c>
    </row>
    <row r="264" spans="1:8" ht="25.5">
      <c r="A264" s="145"/>
      <c r="B264" s="31"/>
      <c r="C264" s="66"/>
      <c r="D264" s="67" t="s">
        <v>288</v>
      </c>
      <c r="E264" s="71" t="s">
        <v>289</v>
      </c>
      <c r="F264" s="61"/>
      <c r="G264" s="62" t="s">
        <v>18</v>
      </c>
      <c r="H264" s="124">
        <v>231.20000000000002</v>
      </c>
    </row>
    <row r="265" spans="1:8" ht="25.5">
      <c r="A265" s="145"/>
      <c r="B265" s="31"/>
      <c r="C265" s="66"/>
      <c r="D265" s="67"/>
      <c r="E265" s="86" t="s">
        <v>1208</v>
      </c>
      <c r="F265" s="46">
        <f>F261*0.1</f>
        <v>231.20000000000002</v>
      </c>
      <c r="G265" s="62"/>
      <c r="H265" s="30"/>
    </row>
    <row r="266" spans="1:8">
      <c r="A266" s="145"/>
      <c r="B266" s="31"/>
      <c r="C266" s="66"/>
      <c r="D266" s="67"/>
      <c r="E266" s="86"/>
      <c r="F266" s="46"/>
      <c r="G266" s="62"/>
      <c r="H266" s="30"/>
    </row>
    <row r="267" spans="1:8">
      <c r="A267" s="145"/>
      <c r="B267" s="35" t="s">
        <v>72</v>
      </c>
      <c r="C267" s="93"/>
      <c r="D267" s="94"/>
      <c r="E267" s="50" t="s">
        <v>73</v>
      </c>
      <c r="F267" s="100"/>
      <c r="G267" s="101"/>
      <c r="H267" s="83"/>
    </row>
    <row r="268" spans="1:8">
      <c r="A268" s="145"/>
      <c r="B268" s="125"/>
      <c r="C268" s="125"/>
      <c r="D268" s="601"/>
      <c r="E268" s="168"/>
      <c r="F268" s="603"/>
      <c r="G268" s="32"/>
      <c r="H268" s="83"/>
    </row>
    <row r="269" spans="1:8">
      <c r="A269" s="34">
        <f>MAX(A$1:A268)+1</f>
        <v>28</v>
      </c>
      <c r="B269" s="125"/>
      <c r="C269" s="36" t="s">
        <v>74</v>
      </c>
      <c r="D269" s="37"/>
      <c r="E269" s="38" t="s">
        <v>75</v>
      </c>
      <c r="F269" s="39"/>
      <c r="G269" s="40" t="s">
        <v>18</v>
      </c>
      <c r="H269" s="64">
        <v>2.6999999999999997</v>
      </c>
    </row>
    <row r="270" spans="1:8">
      <c r="A270" s="145"/>
      <c r="B270" s="125"/>
      <c r="C270" s="125"/>
      <c r="D270" s="67" t="s">
        <v>76</v>
      </c>
      <c r="E270" s="71" t="s">
        <v>77</v>
      </c>
      <c r="F270" s="61"/>
      <c r="G270" s="62" t="s">
        <v>18</v>
      </c>
      <c r="H270" s="83">
        <v>2.6999999999999997</v>
      </c>
    </row>
    <row r="271" spans="1:8" ht="25.5">
      <c r="A271" s="145"/>
      <c r="B271" s="125"/>
      <c r="C271" s="125"/>
      <c r="D271" s="601"/>
      <c r="E271" s="168" t="s">
        <v>1209</v>
      </c>
      <c r="F271" s="170">
        <f>1.2*1.5*1.5</f>
        <v>2.6999999999999997</v>
      </c>
      <c r="G271" s="32"/>
      <c r="H271" s="83"/>
    </row>
    <row r="272" spans="1:8">
      <c r="A272" s="145"/>
      <c r="B272" s="125"/>
      <c r="C272" s="125"/>
      <c r="D272" s="601"/>
      <c r="E272" s="168"/>
      <c r="F272" s="603"/>
      <c r="G272" s="32"/>
      <c r="H272" s="83"/>
    </row>
    <row r="273" spans="1:10">
      <c r="A273" s="34">
        <f>MAX(A$1:A272)+1</f>
        <v>29</v>
      </c>
      <c r="B273" s="31"/>
      <c r="C273" s="36" t="s">
        <v>158</v>
      </c>
      <c r="D273" s="37"/>
      <c r="E273" s="38" t="s">
        <v>159</v>
      </c>
      <c r="F273" s="39"/>
      <c r="G273" s="40" t="s">
        <v>18</v>
      </c>
      <c r="H273" s="64">
        <v>4.08</v>
      </c>
    </row>
    <row r="274" spans="1:10">
      <c r="A274" s="145"/>
      <c r="B274" s="31"/>
      <c r="C274" s="31"/>
      <c r="D274" s="67" t="s">
        <v>160</v>
      </c>
      <c r="E274" s="71" t="s">
        <v>161</v>
      </c>
      <c r="F274" s="61"/>
      <c r="G274" s="62" t="s">
        <v>18</v>
      </c>
      <c r="H274" s="83">
        <v>4.08</v>
      </c>
    </row>
    <row r="275" spans="1:10">
      <c r="A275" s="145"/>
      <c r="B275" s="31"/>
      <c r="C275" s="31"/>
      <c r="D275" s="67"/>
      <c r="E275" s="168" t="s">
        <v>1210</v>
      </c>
      <c r="F275" s="170">
        <f>16*0.35*0.65</f>
        <v>3.6399999999999997</v>
      </c>
      <c r="G275" s="62"/>
      <c r="H275" s="83"/>
      <c r="J275" s="208"/>
    </row>
    <row r="276" spans="1:10">
      <c r="A276" s="145"/>
      <c r="B276" s="31"/>
      <c r="C276" s="31"/>
      <c r="D276" s="32"/>
      <c r="E276" s="168" t="s">
        <v>1211</v>
      </c>
      <c r="F276" s="180">
        <f>5*0.35*0.25</f>
        <v>0.4375</v>
      </c>
      <c r="G276" s="29"/>
      <c r="H276" s="83"/>
    </row>
    <row r="277" spans="1:10">
      <c r="A277" s="145"/>
      <c r="B277" s="31"/>
      <c r="C277" s="31"/>
      <c r="D277" s="32"/>
      <c r="E277" s="168"/>
      <c r="F277" s="706">
        <f>SUM(F275:F276)</f>
        <v>4.0774999999999997</v>
      </c>
      <c r="G277" s="29"/>
      <c r="H277" s="83"/>
    </row>
    <row r="278" spans="1:10">
      <c r="A278" s="145"/>
      <c r="B278" s="31"/>
      <c r="C278" s="31"/>
      <c r="D278" s="32"/>
      <c r="E278" s="168"/>
      <c r="F278" s="603"/>
      <c r="G278" s="29"/>
      <c r="H278" s="83"/>
    </row>
    <row r="279" spans="1:10">
      <c r="A279" s="34">
        <f>MAX(A$1:A278)+1</f>
        <v>30</v>
      </c>
      <c r="B279" s="31"/>
      <c r="C279" s="36" t="s">
        <v>58</v>
      </c>
      <c r="D279" s="37"/>
      <c r="E279" s="38" t="s">
        <v>59</v>
      </c>
      <c r="F279" s="39"/>
      <c r="G279" s="40" t="s">
        <v>18</v>
      </c>
      <c r="H279" s="64">
        <v>0.74</v>
      </c>
    </row>
    <row r="280" spans="1:10">
      <c r="A280" s="145"/>
      <c r="B280" s="31"/>
      <c r="C280" s="66"/>
      <c r="D280" s="67" t="s">
        <v>60</v>
      </c>
      <c r="E280" s="71" t="s">
        <v>61</v>
      </c>
      <c r="F280" s="61"/>
      <c r="G280" s="62" t="s">
        <v>18</v>
      </c>
      <c r="H280" s="83">
        <v>0.74</v>
      </c>
    </row>
    <row r="281" spans="1:10">
      <c r="A281" s="145"/>
      <c r="B281" s="31"/>
      <c r="C281" s="31"/>
      <c r="D281" s="32"/>
      <c r="E281" s="168" t="s">
        <v>1212</v>
      </c>
      <c r="F281" s="603">
        <f>F299</f>
        <v>0.73500000000000032</v>
      </c>
      <c r="G281" s="29"/>
      <c r="H281" s="83"/>
    </row>
    <row r="282" spans="1:10">
      <c r="A282" s="145"/>
      <c r="B282" s="125"/>
      <c r="C282" s="125"/>
      <c r="D282" s="601"/>
      <c r="E282" s="168"/>
      <c r="F282" s="603"/>
      <c r="G282" s="32"/>
      <c r="H282" s="83"/>
    </row>
    <row r="283" spans="1:10">
      <c r="A283" s="34">
        <f>MAX(A$1:A282)+1</f>
        <v>31</v>
      </c>
      <c r="B283" s="31"/>
      <c r="C283" s="36" t="s">
        <v>78</v>
      </c>
      <c r="D283" s="37"/>
      <c r="E283" s="38" t="s">
        <v>79</v>
      </c>
      <c r="F283" s="39"/>
      <c r="G283" s="40" t="s">
        <v>18</v>
      </c>
      <c r="H283" s="64">
        <v>6.04</v>
      </c>
    </row>
    <row r="284" spans="1:10">
      <c r="A284" s="145"/>
      <c r="B284" s="31"/>
      <c r="C284" s="31"/>
      <c r="D284" s="67" t="s">
        <v>80</v>
      </c>
      <c r="E284" s="71" t="s">
        <v>81</v>
      </c>
      <c r="F284" s="61"/>
      <c r="G284" s="62" t="s">
        <v>18</v>
      </c>
      <c r="H284" s="83">
        <v>6.04</v>
      </c>
    </row>
    <row r="285" spans="1:10" ht="25.5">
      <c r="A285" s="145"/>
      <c r="B285" s="31"/>
      <c r="C285" s="31"/>
      <c r="D285" s="67"/>
      <c r="E285" s="168" t="s">
        <v>1209</v>
      </c>
      <c r="F285" s="170">
        <f>1.2*1.5*1.5</f>
        <v>2.6999999999999997</v>
      </c>
      <c r="G285" s="62"/>
      <c r="H285" s="83"/>
    </row>
    <row r="286" spans="1:10">
      <c r="A286" s="145"/>
      <c r="B286" s="31"/>
      <c r="C286" s="31"/>
      <c r="D286" s="32"/>
      <c r="E286" s="168" t="s">
        <v>1213</v>
      </c>
      <c r="F286" s="170">
        <f>16*0.35*0.55</f>
        <v>3.08</v>
      </c>
      <c r="G286" s="29"/>
      <c r="H286" s="83"/>
    </row>
    <row r="287" spans="1:10">
      <c r="A287" s="145"/>
      <c r="B287" s="31"/>
      <c r="C287" s="31"/>
      <c r="D287" s="32"/>
      <c r="E287" s="168" t="s">
        <v>1214</v>
      </c>
      <c r="F287" s="180">
        <f>5*0.35*0.15</f>
        <v>0.26250000000000001</v>
      </c>
      <c r="G287" s="29"/>
      <c r="H287" s="83"/>
    </row>
    <row r="288" spans="1:10">
      <c r="A288" s="145"/>
      <c r="B288" s="31"/>
      <c r="C288" s="31"/>
      <c r="D288" s="32"/>
      <c r="E288" s="168"/>
      <c r="F288" s="706">
        <f>SUM(F285:F287)</f>
        <v>6.0424999999999995</v>
      </c>
      <c r="G288" s="29"/>
      <c r="H288" s="83"/>
    </row>
    <row r="289" spans="1:8">
      <c r="A289" s="145"/>
      <c r="B289" s="31"/>
      <c r="C289" s="66"/>
      <c r="D289" s="242"/>
      <c r="E289" s="157"/>
      <c r="F289" s="144"/>
      <c r="G289" s="62"/>
      <c r="H289" s="83"/>
    </row>
    <row r="290" spans="1:8">
      <c r="A290" s="34">
        <f>MAX(A$1:A289)+1</f>
        <v>32</v>
      </c>
      <c r="B290" s="31"/>
      <c r="C290" s="36" t="s">
        <v>472</v>
      </c>
      <c r="D290" s="248"/>
      <c r="E290" s="38" t="s">
        <v>473</v>
      </c>
      <c r="F290" s="78"/>
      <c r="G290" s="40" t="s">
        <v>18</v>
      </c>
      <c r="H290" s="64">
        <v>0.74</v>
      </c>
    </row>
    <row r="291" spans="1:8">
      <c r="A291" s="145"/>
      <c r="B291" s="31"/>
      <c r="C291" s="66"/>
      <c r="D291" s="67" t="s">
        <v>474</v>
      </c>
      <c r="E291" s="71" t="s">
        <v>475</v>
      </c>
      <c r="F291" s="61"/>
      <c r="G291" s="62" t="s">
        <v>18</v>
      </c>
      <c r="H291" s="83">
        <v>0.74</v>
      </c>
    </row>
    <row r="292" spans="1:8">
      <c r="A292" s="145"/>
      <c r="B292" s="31"/>
      <c r="C292" s="66"/>
      <c r="D292" s="242"/>
      <c r="E292" s="157" t="s">
        <v>1215</v>
      </c>
      <c r="F292" s="144">
        <f>(16+5)*0.35*0.1</f>
        <v>0.73499999999999999</v>
      </c>
      <c r="G292" s="62"/>
      <c r="H292" s="83"/>
    </row>
    <row r="293" spans="1:8">
      <c r="A293" s="145"/>
      <c r="B293" s="31"/>
      <c r="C293" s="66"/>
      <c r="D293" s="242"/>
      <c r="E293" s="157"/>
      <c r="F293" s="144"/>
      <c r="G293" s="62"/>
      <c r="H293" s="83"/>
    </row>
    <row r="294" spans="1:8">
      <c r="A294" s="34">
        <f>MAX(A$1:A293)+1</f>
        <v>33</v>
      </c>
      <c r="B294" s="31"/>
      <c r="C294" s="36" t="s">
        <v>50</v>
      </c>
      <c r="D294" s="37"/>
      <c r="E294" s="38" t="s">
        <v>51</v>
      </c>
      <c r="F294" s="39"/>
      <c r="G294" s="40" t="s">
        <v>18</v>
      </c>
      <c r="H294" s="64">
        <v>0.74</v>
      </c>
    </row>
    <row r="295" spans="1:8" ht="25.5">
      <c r="A295" s="145"/>
      <c r="B295" s="31"/>
      <c r="C295" s="66"/>
      <c r="D295" s="67" t="s">
        <v>138</v>
      </c>
      <c r="E295" s="71" t="s">
        <v>139</v>
      </c>
      <c r="F295" s="61"/>
      <c r="G295" s="62" t="s">
        <v>18</v>
      </c>
      <c r="H295" s="83">
        <v>0.74</v>
      </c>
    </row>
    <row r="296" spans="1:8">
      <c r="A296" s="145"/>
      <c r="B296" s="31"/>
      <c r="C296" s="66"/>
      <c r="D296" s="242"/>
      <c r="E296" s="157" t="s">
        <v>1216</v>
      </c>
      <c r="F296" s="144"/>
      <c r="G296" s="62"/>
      <c r="H296" s="83"/>
    </row>
    <row r="297" spans="1:8">
      <c r="A297" s="145"/>
      <c r="B297" s="31"/>
      <c r="C297" s="66"/>
      <c r="D297" s="242"/>
      <c r="E297" s="157" t="s">
        <v>66</v>
      </c>
      <c r="F297" s="144">
        <f>F271+F277</f>
        <v>6.7774999999999999</v>
      </c>
      <c r="G297" s="62"/>
      <c r="H297" s="83"/>
    </row>
    <row r="298" spans="1:8">
      <c r="A298" s="145"/>
      <c r="B298" s="31"/>
      <c r="C298" s="66"/>
      <c r="D298" s="242"/>
      <c r="E298" s="157" t="s">
        <v>82</v>
      </c>
      <c r="F298" s="285">
        <f>-F288</f>
        <v>-6.0424999999999995</v>
      </c>
      <c r="G298" s="62"/>
      <c r="H298" s="83"/>
    </row>
    <row r="299" spans="1:8">
      <c r="A299" s="145"/>
      <c r="B299" s="31"/>
      <c r="C299" s="66"/>
      <c r="D299" s="242"/>
      <c r="E299" s="157"/>
      <c r="F299" s="144">
        <f>SUM(F297:F298)</f>
        <v>0.73500000000000032</v>
      </c>
      <c r="G299" s="62"/>
      <c r="H299" s="83"/>
    </row>
    <row r="300" spans="1:8">
      <c r="A300" s="145"/>
      <c r="B300" s="31"/>
      <c r="C300" s="66"/>
      <c r="D300" s="67"/>
      <c r="E300" s="86"/>
      <c r="F300" s="46"/>
      <c r="G300" s="62"/>
      <c r="H300" s="30"/>
    </row>
    <row r="301" spans="1:8">
      <c r="A301" s="145"/>
      <c r="B301" s="35" t="s">
        <v>87</v>
      </c>
      <c r="C301" s="93"/>
      <c r="D301" s="94"/>
      <c r="E301" s="50" t="s">
        <v>88</v>
      </c>
      <c r="F301" s="81"/>
      <c r="G301" s="62"/>
      <c r="H301" s="30"/>
    </row>
    <row r="302" spans="1:8">
      <c r="A302" s="34"/>
      <c r="B302" s="256"/>
      <c r="C302" s="79"/>
      <c r="D302" s="67"/>
      <c r="E302" s="91"/>
      <c r="F302" s="81"/>
      <c r="G302" s="62"/>
      <c r="H302" s="30"/>
    </row>
    <row r="303" spans="1:8">
      <c r="A303" s="34">
        <f>MAX(A$1:A302)+1</f>
        <v>34</v>
      </c>
      <c r="B303" s="256"/>
      <c r="C303" s="36" t="s">
        <v>175</v>
      </c>
      <c r="D303" s="37"/>
      <c r="E303" s="38" t="s">
        <v>176</v>
      </c>
      <c r="F303" s="39"/>
      <c r="G303" s="40" t="s">
        <v>18</v>
      </c>
      <c r="H303" s="128">
        <v>398.09999999999997</v>
      </c>
    </row>
    <row r="304" spans="1:8" ht="25.5">
      <c r="A304" s="34"/>
      <c r="B304" s="256"/>
      <c r="C304" s="66"/>
      <c r="D304" s="67" t="s">
        <v>177</v>
      </c>
      <c r="E304" s="71" t="s">
        <v>178</v>
      </c>
      <c r="F304" s="61"/>
      <c r="G304" s="62" t="s">
        <v>18</v>
      </c>
      <c r="H304" s="124">
        <v>398.09999999999997</v>
      </c>
    </row>
    <row r="305" spans="1:9">
      <c r="A305" s="34"/>
      <c r="B305" s="256"/>
      <c r="C305" s="66"/>
      <c r="D305" s="67"/>
      <c r="E305" s="65" t="s">
        <v>1217</v>
      </c>
      <c r="F305" s="46">
        <f>0.15*2654</f>
        <v>398.09999999999997</v>
      </c>
      <c r="G305" s="62"/>
      <c r="H305" s="30"/>
      <c r="I305" s="693"/>
    </row>
    <row r="306" spans="1:9">
      <c r="A306" s="34"/>
      <c r="B306" s="256"/>
      <c r="C306" s="66"/>
      <c r="D306" s="67"/>
      <c r="E306" s="71"/>
      <c r="F306" s="61"/>
      <c r="G306" s="62"/>
      <c r="H306" s="30"/>
    </row>
    <row r="307" spans="1:9">
      <c r="A307" s="34">
        <f>MAX(A$1:A306)+1</f>
        <v>35</v>
      </c>
      <c r="B307" s="31"/>
      <c r="C307" s="36" t="s">
        <v>83</v>
      </c>
      <c r="D307" s="37"/>
      <c r="E307" s="38" t="s">
        <v>84</v>
      </c>
      <c r="F307" s="39"/>
      <c r="G307" s="40" t="s">
        <v>18</v>
      </c>
      <c r="H307" s="128">
        <v>398.09999999999997</v>
      </c>
    </row>
    <row r="308" spans="1:9" ht="25.5">
      <c r="A308" s="268"/>
      <c r="B308" s="31"/>
      <c r="C308" s="66"/>
      <c r="D308" s="67" t="s">
        <v>85</v>
      </c>
      <c r="E308" s="71" t="s">
        <v>86</v>
      </c>
      <c r="F308" s="61"/>
      <c r="G308" s="62" t="s">
        <v>18</v>
      </c>
      <c r="H308" s="124">
        <v>398.09999999999997</v>
      </c>
    </row>
    <row r="309" spans="1:9">
      <c r="A309" s="268"/>
      <c r="B309" s="31"/>
      <c r="C309" s="66"/>
      <c r="D309" s="67"/>
      <c r="E309" s="65" t="s">
        <v>623</v>
      </c>
      <c r="F309" s="46">
        <f>F305</f>
        <v>398.09999999999997</v>
      </c>
      <c r="G309" s="62"/>
      <c r="H309" s="30"/>
    </row>
    <row r="310" spans="1:9">
      <c r="A310" s="268"/>
      <c r="B310" s="31"/>
      <c r="C310" s="66"/>
      <c r="D310" s="67"/>
      <c r="E310" s="65"/>
      <c r="F310" s="68"/>
      <c r="G310" s="62"/>
      <c r="H310" s="30"/>
    </row>
    <row r="311" spans="1:9" ht="25.5">
      <c r="A311" s="34">
        <f>MAX(A$1:A310)+1</f>
        <v>36</v>
      </c>
      <c r="B311" s="31"/>
      <c r="C311" s="36" t="s">
        <v>90</v>
      </c>
      <c r="D311" s="37"/>
      <c r="E311" s="38" t="s">
        <v>91</v>
      </c>
      <c r="F311" s="39"/>
      <c r="G311" s="40" t="s">
        <v>21</v>
      </c>
      <c r="H311" s="128">
        <v>2654</v>
      </c>
    </row>
    <row r="312" spans="1:9" ht="25.5">
      <c r="A312" s="268"/>
      <c r="B312" s="31"/>
      <c r="C312" s="66"/>
      <c r="D312" s="67" t="s">
        <v>92</v>
      </c>
      <c r="E312" s="71" t="s">
        <v>93</v>
      </c>
      <c r="F312" s="61"/>
      <c r="G312" s="62" t="s">
        <v>21</v>
      </c>
      <c r="H312" s="124">
        <v>2654</v>
      </c>
    </row>
    <row r="313" spans="1:9">
      <c r="A313" s="268"/>
      <c r="B313" s="31"/>
      <c r="C313" s="66"/>
      <c r="D313" s="67"/>
      <c r="E313" s="65" t="s">
        <v>973</v>
      </c>
      <c r="F313" s="90">
        <f>F305/0.15</f>
        <v>2654</v>
      </c>
      <c r="G313" s="62"/>
      <c r="H313" s="30"/>
    </row>
    <row r="314" spans="1:9">
      <c r="A314" s="268"/>
      <c r="B314" s="31"/>
      <c r="C314" s="66"/>
      <c r="D314" s="67"/>
      <c r="E314" s="65"/>
      <c r="F314" s="90"/>
      <c r="G314" s="62"/>
      <c r="H314" s="30"/>
    </row>
    <row r="315" spans="1:9" ht="25.5">
      <c r="A315" s="34">
        <f>MAX(A$1:A314)+1</f>
        <v>37</v>
      </c>
      <c r="B315" s="31"/>
      <c r="C315" s="36" t="s">
        <v>94</v>
      </c>
      <c r="D315" s="37"/>
      <c r="E315" s="38" t="s">
        <v>95</v>
      </c>
      <c r="F315" s="39"/>
      <c r="G315" s="40" t="s">
        <v>21</v>
      </c>
      <c r="H315" s="128">
        <v>2654</v>
      </c>
      <c r="I315" s="221"/>
    </row>
    <row r="316" spans="1:9" ht="25.5">
      <c r="A316" s="268"/>
      <c r="B316" s="31"/>
      <c r="C316" s="66"/>
      <c r="D316" s="67" t="s">
        <v>96</v>
      </c>
      <c r="E316" s="71" t="s">
        <v>97</v>
      </c>
      <c r="F316" s="61"/>
      <c r="G316" s="62" t="s">
        <v>21</v>
      </c>
      <c r="H316" s="124">
        <v>2654</v>
      </c>
    </row>
    <row r="317" spans="1:9">
      <c r="A317" s="268"/>
      <c r="B317" s="31"/>
      <c r="C317" s="66"/>
      <c r="D317" s="67"/>
      <c r="E317" s="65" t="s">
        <v>1218</v>
      </c>
      <c r="F317" s="90">
        <f>F313</f>
        <v>2654</v>
      </c>
      <c r="G317" s="62"/>
      <c r="H317" s="30"/>
    </row>
    <row r="318" spans="1:9">
      <c r="A318" s="268"/>
      <c r="B318" s="31"/>
      <c r="C318" s="66"/>
      <c r="D318" s="67"/>
      <c r="E318" s="65"/>
      <c r="F318" s="90"/>
      <c r="G318" s="62"/>
      <c r="H318" s="30"/>
    </row>
    <row r="319" spans="1:9" ht="25.5">
      <c r="A319" s="34">
        <f>MAX(A$1:A318)+1</f>
        <v>38</v>
      </c>
      <c r="B319" s="31"/>
      <c r="C319" s="36" t="s">
        <v>98</v>
      </c>
      <c r="D319" s="37"/>
      <c r="E319" s="38" t="s">
        <v>99</v>
      </c>
      <c r="F319" s="277"/>
      <c r="G319" s="40" t="s">
        <v>21</v>
      </c>
      <c r="H319" s="128">
        <v>2654</v>
      </c>
    </row>
    <row r="320" spans="1:9" ht="25.5">
      <c r="A320" s="268"/>
      <c r="B320" s="31"/>
      <c r="C320" s="66"/>
      <c r="D320" s="67" t="s">
        <v>100</v>
      </c>
      <c r="E320" s="71" t="s">
        <v>101</v>
      </c>
      <c r="F320" s="275"/>
      <c r="G320" s="62" t="s">
        <v>21</v>
      </c>
      <c r="H320" s="124">
        <v>2654</v>
      </c>
    </row>
    <row r="321" spans="1:21">
      <c r="A321" s="268"/>
      <c r="B321" s="31"/>
      <c r="C321" s="66"/>
      <c r="D321" s="67"/>
      <c r="E321" s="65" t="s">
        <v>102</v>
      </c>
      <c r="F321" s="90">
        <f>F317</f>
        <v>2654</v>
      </c>
      <c r="G321" s="62"/>
      <c r="H321" s="30"/>
    </row>
    <row r="322" spans="1:21">
      <c r="A322" s="268"/>
      <c r="B322" s="31"/>
      <c r="C322" s="66"/>
      <c r="D322" s="67"/>
      <c r="E322" s="65"/>
      <c r="F322" s="68"/>
      <c r="G322" s="62"/>
      <c r="H322" s="30"/>
    </row>
    <row r="323" spans="1:21" s="98" customFormat="1">
      <c r="A323" s="95"/>
      <c r="B323" s="35" t="s">
        <v>54</v>
      </c>
      <c r="C323" s="93"/>
      <c r="D323" s="94"/>
      <c r="E323" s="50" t="s">
        <v>55</v>
      </c>
      <c r="F323" s="100"/>
      <c r="G323" s="101"/>
      <c r="H323" s="42"/>
      <c r="I323" s="208"/>
      <c r="J323"/>
      <c r="K323"/>
      <c r="L323"/>
      <c r="Q323"/>
      <c r="U323" s="222"/>
    </row>
    <row r="324" spans="1:21" s="98" customFormat="1">
      <c r="A324" s="95"/>
      <c r="B324" s="35"/>
      <c r="C324" s="93"/>
      <c r="D324" s="94"/>
      <c r="E324" s="50"/>
      <c r="F324" s="100"/>
      <c r="G324" s="101"/>
      <c r="H324" s="42"/>
      <c r="I324" s="208"/>
      <c r="J324"/>
      <c r="K324"/>
      <c r="L324"/>
      <c r="Q324"/>
      <c r="U324" s="222"/>
    </row>
    <row r="325" spans="1:21" s="98" customFormat="1">
      <c r="A325" s="34">
        <f>MAX(A$1:A324)+1</f>
        <v>39</v>
      </c>
      <c r="B325" s="35"/>
      <c r="C325" s="36" t="s">
        <v>150</v>
      </c>
      <c r="D325" s="66"/>
      <c r="E325" s="38" t="s">
        <v>151</v>
      </c>
      <c r="F325" s="39"/>
      <c r="G325" s="40" t="s">
        <v>18</v>
      </c>
      <c r="H325" s="52">
        <v>346.8</v>
      </c>
      <c r="I325" s="208"/>
      <c r="J325"/>
      <c r="K325"/>
      <c r="L325"/>
      <c r="Q325"/>
      <c r="U325" s="222"/>
    </row>
    <row r="326" spans="1:21" s="98" customFormat="1" ht="25.5">
      <c r="A326" s="95"/>
      <c r="B326" s="35"/>
      <c r="C326" s="37"/>
      <c r="D326" s="67" t="s">
        <v>152</v>
      </c>
      <c r="E326" s="71" t="s">
        <v>153</v>
      </c>
      <c r="F326" s="61"/>
      <c r="G326" s="62" t="s">
        <v>18</v>
      </c>
      <c r="H326" s="99">
        <v>346.8</v>
      </c>
      <c r="I326" s="208"/>
      <c r="J326"/>
      <c r="K326"/>
      <c r="L326"/>
      <c r="Q326"/>
      <c r="U326" s="222"/>
    </row>
    <row r="327" spans="1:21" s="98" customFormat="1">
      <c r="A327" s="95"/>
      <c r="B327" s="35"/>
      <c r="C327" s="93"/>
      <c r="D327" s="94"/>
      <c r="E327" s="65" t="s">
        <v>1219</v>
      </c>
      <c r="F327" s="212">
        <f>2312*0.15</f>
        <v>346.8</v>
      </c>
      <c r="G327" s="101"/>
      <c r="H327" s="42"/>
      <c r="I327" s="208"/>
      <c r="J327"/>
      <c r="K327"/>
      <c r="L327"/>
      <c r="Q327"/>
      <c r="U327" s="222"/>
    </row>
    <row r="328" spans="1:21" s="98" customFormat="1">
      <c r="A328" s="95"/>
      <c r="B328" s="35"/>
      <c r="C328" s="93"/>
      <c r="D328" s="94"/>
      <c r="E328" s="65"/>
      <c r="F328" s="212"/>
      <c r="G328" s="101"/>
      <c r="H328" s="42"/>
      <c r="I328" s="208"/>
      <c r="J328"/>
      <c r="K328"/>
      <c r="L328"/>
      <c r="Q328"/>
      <c r="U328" s="222"/>
    </row>
    <row r="329" spans="1:21" s="98" customFormat="1">
      <c r="A329" s="34">
        <f>MAX(A$1:A328)+1</f>
        <v>40</v>
      </c>
      <c r="B329" s="35"/>
      <c r="C329" s="36" t="s">
        <v>237</v>
      </c>
      <c r="D329" s="66"/>
      <c r="E329" s="38" t="s">
        <v>238</v>
      </c>
      <c r="F329" s="39"/>
      <c r="G329" s="40" t="s">
        <v>18</v>
      </c>
      <c r="H329" s="52">
        <v>307.5</v>
      </c>
      <c r="I329" s="208"/>
      <c r="J329"/>
      <c r="K329"/>
      <c r="L329"/>
      <c r="Q329"/>
      <c r="U329" s="222"/>
    </row>
    <row r="330" spans="1:21" s="98" customFormat="1" ht="25.5">
      <c r="A330" s="95"/>
      <c r="B330" s="35"/>
      <c r="C330" s="93"/>
      <c r="D330" s="66" t="s">
        <v>239</v>
      </c>
      <c r="E330" s="71" t="s">
        <v>240</v>
      </c>
      <c r="F330" s="61"/>
      <c r="G330" s="62" t="s">
        <v>18</v>
      </c>
      <c r="H330" s="99">
        <v>307.5</v>
      </c>
      <c r="I330" s="208"/>
      <c r="J330"/>
      <c r="K330"/>
      <c r="L330"/>
      <c r="Q330"/>
      <c r="U330" s="222"/>
    </row>
    <row r="331" spans="1:21" s="98" customFormat="1" ht="25.5">
      <c r="A331" s="95"/>
      <c r="B331" s="35"/>
      <c r="C331" s="93"/>
      <c r="D331" s="94"/>
      <c r="E331" s="65" t="s">
        <v>1220</v>
      </c>
      <c r="F331" s="212">
        <v>147.5</v>
      </c>
      <c r="G331" s="101"/>
      <c r="H331" s="42"/>
      <c r="I331" s="208"/>
      <c r="J331"/>
      <c r="K331"/>
      <c r="L331"/>
      <c r="Q331"/>
      <c r="U331" s="222"/>
    </row>
    <row r="332" spans="1:21" s="98" customFormat="1" ht="25.5">
      <c r="A332" s="95"/>
      <c r="B332" s="35"/>
      <c r="C332" s="93"/>
      <c r="D332" s="94"/>
      <c r="E332" s="65" t="s">
        <v>1221</v>
      </c>
      <c r="F332" s="213">
        <f>F353</f>
        <v>160</v>
      </c>
      <c r="G332" s="101"/>
      <c r="H332" s="42"/>
      <c r="I332" s="208"/>
      <c r="J332"/>
      <c r="K332"/>
      <c r="L332"/>
      <c r="Q332"/>
      <c r="U332" s="222"/>
    </row>
    <row r="333" spans="1:21" s="98" customFormat="1">
      <c r="A333" s="95"/>
      <c r="B333" s="35"/>
      <c r="C333" s="93"/>
      <c r="D333" s="94"/>
      <c r="E333" s="65"/>
      <c r="F333" s="212">
        <f>SUM(F331:F332)</f>
        <v>307.5</v>
      </c>
      <c r="G333" s="101"/>
      <c r="H333" s="42"/>
      <c r="I333" s="208"/>
      <c r="J333"/>
      <c r="K333"/>
      <c r="L333"/>
      <c r="Q333"/>
      <c r="U333" s="222"/>
    </row>
    <row r="334" spans="1:21" s="98" customFormat="1">
      <c r="A334" s="95"/>
      <c r="B334" s="35"/>
      <c r="C334" s="93"/>
      <c r="D334" s="94"/>
      <c r="E334" s="65"/>
      <c r="F334" s="212"/>
      <c r="G334" s="101"/>
      <c r="H334" s="42"/>
      <c r="I334" s="208"/>
      <c r="J334"/>
      <c r="K334"/>
      <c r="L334"/>
      <c r="Q334"/>
      <c r="U334" s="222"/>
    </row>
    <row r="335" spans="1:21" s="98" customFormat="1">
      <c r="A335" s="34">
        <f>MAX(A$1:A334)+1</f>
        <v>41</v>
      </c>
      <c r="B335" s="35"/>
      <c r="C335" s="36" t="s">
        <v>351</v>
      </c>
      <c r="D335" s="37"/>
      <c r="E335" s="38" t="s">
        <v>352</v>
      </c>
      <c r="F335" s="39"/>
      <c r="G335" s="40" t="s">
        <v>18</v>
      </c>
      <c r="H335" s="52">
        <v>51</v>
      </c>
      <c r="I335" s="208"/>
      <c r="J335"/>
      <c r="K335"/>
      <c r="L335"/>
      <c r="Q335"/>
      <c r="U335" s="222"/>
    </row>
    <row r="336" spans="1:21" s="98" customFormat="1" ht="25.5">
      <c r="A336" s="95"/>
      <c r="B336" s="35"/>
      <c r="C336" s="93"/>
      <c r="D336" s="67" t="s">
        <v>353</v>
      </c>
      <c r="E336" s="71" t="s">
        <v>354</v>
      </c>
      <c r="F336" s="61"/>
      <c r="G336" s="62" t="s">
        <v>18</v>
      </c>
      <c r="H336" s="99">
        <v>51</v>
      </c>
      <c r="I336" s="208"/>
      <c r="J336"/>
      <c r="K336"/>
      <c r="L336"/>
      <c r="Q336"/>
      <c r="U336" s="222"/>
    </row>
    <row r="337" spans="1:21" s="98" customFormat="1">
      <c r="A337" s="95"/>
      <c r="B337" s="35"/>
      <c r="C337" s="93"/>
      <c r="D337" s="94"/>
      <c r="E337" s="65" t="s">
        <v>1222</v>
      </c>
      <c r="F337" s="212">
        <v>51</v>
      </c>
      <c r="G337" s="101"/>
      <c r="H337" s="42"/>
      <c r="I337" s="208"/>
      <c r="J337"/>
      <c r="K337"/>
      <c r="L337"/>
      <c r="Q337"/>
      <c r="U337" s="222"/>
    </row>
    <row r="338" spans="1:21" s="98" customFormat="1">
      <c r="A338" s="95"/>
      <c r="B338" s="35"/>
      <c r="C338" s="93"/>
      <c r="D338" s="94"/>
      <c r="E338" s="65"/>
      <c r="F338" s="212"/>
      <c r="G338" s="101"/>
      <c r="H338" s="42"/>
      <c r="I338" s="208"/>
      <c r="J338"/>
      <c r="K338"/>
      <c r="L338"/>
      <c r="Q338"/>
      <c r="U338" s="222"/>
    </row>
    <row r="339" spans="1:21" s="98" customFormat="1">
      <c r="A339" s="34">
        <f>MAX(A$1:A338)+1</f>
        <v>42</v>
      </c>
      <c r="B339" s="35"/>
      <c r="C339" s="36" t="s">
        <v>74</v>
      </c>
      <c r="D339" s="37"/>
      <c r="E339" s="38" t="s">
        <v>75</v>
      </c>
      <c r="F339" s="39"/>
      <c r="G339" s="40" t="s">
        <v>18</v>
      </c>
      <c r="H339" s="52">
        <v>15.119999999999997</v>
      </c>
      <c r="I339" s="208"/>
      <c r="J339"/>
      <c r="K339"/>
      <c r="L339"/>
      <c r="Q339"/>
      <c r="U339" s="222"/>
    </row>
    <row r="340" spans="1:21" s="98" customFormat="1">
      <c r="A340" s="95"/>
      <c r="B340" s="35"/>
      <c r="C340" s="93"/>
      <c r="D340" s="67" t="s">
        <v>76</v>
      </c>
      <c r="E340" s="71" t="s">
        <v>77</v>
      </c>
      <c r="F340" s="61"/>
      <c r="G340" s="62" t="s">
        <v>18</v>
      </c>
      <c r="H340" s="99">
        <v>15.119999999999997</v>
      </c>
      <c r="I340" s="208"/>
      <c r="J340"/>
      <c r="K340"/>
      <c r="L340"/>
      <c r="Q340"/>
      <c r="U340" s="222"/>
    </row>
    <row r="341" spans="1:21" s="98" customFormat="1">
      <c r="A341" s="95"/>
      <c r="B341" s="35"/>
      <c r="C341" s="93"/>
      <c r="D341" s="94"/>
      <c r="E341" s="65" t="s">
        <v>1223</v>
      </c>
      <c r="F341" s="212">
        <f>3.8*1.4*1*1</f>
        <v>5.3199999999999994</v>
      </c>
      <c r="G341" s="101"/>
      <c r="H341" s="42"/>
      <c r="I341" s="208"/>
      <c r="J341"/>
      <c r="K341"/>
      <c r="L341"/>
      <c r="Q341"/>
      <c r="U341" s="222"/>
    </row>
    <row r="342" spans="1:21" s="98" customFormat="1">
      <c r="A342" s="95"/>
      <c r="B342" s="35"/>
      <c r="C342" s="93"/>
      <c r="D342" s="94"/>
      <c r="E342" s="65" t="s">
        <v>1224</v>
      </c>
      <c r="F342" s="213">
        <f>3.5*1.4*1*2</f>
        <v>9.7999999999999989</v>
      </c>
      <c r="G342" s="101"/>
      <c r="H342" s="42"/>
      <c r="I342" s="208"/>
      <c r="J342"/>
      <c r="K342"/>
      <c r="L342"/>
      <c r="Q342"/>
      <c r="U342" s="222"/>
    </row>
    <row r="343" spans="1:21" s="98" customFormat="1">
      <c r="A343" s="95"/>
      <c r="B343" s="35"/>
      <c r="C343" s="93"/>
      <c r="D343" s="94"/>
      <c r="E343" s="65"/>
      <c r="F343" s="212">
        <f>SUM(F341:F342)</f>
        <v>15.119999999999997</v>
      </c>
      <c r="G343" s="101"/>
      <c r="H343" s="42"/>
      <c r="I343" s="208"/>
      <c r="J343"/>
      <c r="K343"/>
      <c r="L343"/>
      <c r="Q343"/>
      <c r="U343" s="222"/>
    </row>
    <row r="344" spans="1:21" s="98" customFormat="1">
      <c r="A344" s="95"/>
      <c r="B344" s="35"/>
      <c r="C344" s="93"/>
      <c r="D344" s="94"/>
      <c r="E344" s="65"/>
      <c r="F344" s="212"/>
      <c r="G344" s="101"/>
      <c r="H344" s="42"/>
      <c r="I344" s="208"/>
      <c r="J344"/>
      <c r="K344"/>
      <c r="L344"/>
      <c r="Q344"/>
      <c r="U344" s="222"/>
    </row>
    <row r="345" spans="1:21" s="98" customFormat="1">
      <c r="A345" s="34">
        <f>MAX(A$1:A344)+1</f>
        <v>43</v>
      </c>
      <c r="B345" s="35"/>
      <c r="C345" s="36" t="s">
        <v>245</v>
      </c>
      <c r="D345" s="37"/>
      <c r="E345" s="38" t="s">
        <v>246</v>
      </c>
      <c r="F345" s="39"/>
      <c r="G345" s="40" t="s">
        <v>18</v>
      </c>
      <c r="H345" s="52">
        <v>310</v>
      </c>
      <c r="I345" s="208"/>
      <c r="J345"/>
      <c r="K345"/>
      <c r="L345"/>
      <c r="Q345"/>
      <c r="U345" s="222"/>
    </row>
    <row r="346" spans="1:21" s="98" customFormat="1" ht="25.5">
      <c r="A346" s="95"/>
      <c r="B346" s="35"/>
      <c r="C346" s="93"/>
      <c r="D346" s="67" t="s">
        <v>247</v>
      </c>
      <c r="E346" s="71" t="s">
        <v>248</v>
      </c>
      <c r="F346" s="61"/>
      <c r="G346" s="62" t="s">
        <v>18</v>
      </c>
      <c r="H346" s="99">
        <v>310</v>
      </c>
      <c r="I346" s="208"/>
      <c r="J346"/>
      <c r="K346"/>
      <c r="L346"/>
      <c r="Q346"/>
      <c r="U346" s="222"/>
    </row>
    <row r="347" spans="1:21" s="98" customFormat="1">
      <c r="A347" s="95"/>
      <c r="B347" s="35"/>
      <c r="C347" s="93"/>
      <c r="D347" s="67"/>
      <c r="E347" s="84" t="s">
        <v>608</v>
      </c>
      <c r="F347" s="61"/>
      <c r="G347" s="62"/>
      <c r="H347" s="42"/>
      <c r="I347" s="208"/>
      <c r="J347"/>
      <c r="K347"/>
      <c r="L347"/>
      <c r="Q347"/>
      <c r="U347" s="222"/>
    </row>
    <row r="348" spans="1:21" s="98" customFormat="1">
      <c r="A348" s="95"/>
      <c r="B348" s="35"/>
      <c r="C348" s="93"/>
      <c r="D348" s="67"/>
      <c r="E348" s="65" t="s">
        <v>1225</v>
      </c>
      <c r="F348" s="46">
        <v>58</v>
      </c>
      <c r="G348" s="62"/>
      <c r="H348" s="42"/>
      <c r="I348" s="208"/>
      <c r="J348"/>
      <c r="K348"/>
      <c r="L348"/>
      <c r="Q348"/>
      <c r="U348" s="222"/>
    </row>
    <row r="349" spans="1:21" s="98" customFormat="1">
      <c r="A349" s="95"/>
      <c r="B349" s="35"/>
      <c r="C349" s="93"/>
      <c r="D349" s="67"/>
      <c r="E349" s="65" t="s">
        <v>877</v>
      </c>
      <c r="F349" s="69">
        <v>92</v>
      </c>
      <c r="G349" s="62"/>
      <c r="H349" s="42"/>
      <c r="I349" s="208"/>
      <c r="J349"/>
      <c r="K349"/>
      <c r="L349"/>
      <c r="Q349"/>
      <c r="U349" s="222"/>
    </row>
    <row r="350" spans="1:21" s="98" customFormat="1">
      <c r="A350" s="95"/>
      <c r="B350" s="35"/>
      <c r="C350" s="93"/>
      <c r="D350" s="94"/>
      <c r="E350" s="65"/>
      <c r="F350" s="212">
        <f>SUM(F348:F349)</f>
        <v>150</v>
      </c>
      <c r="G350" s="101"/>
      <c r="H350" s="42"/>
      <c r="I350" s="208"/>
      <c r="J350"/>
      <c r="K350"/>
      <c r="L350"/>
      <c r="Q350"/>
      <c r="U350" s="222"/>
    </row>
    <row r="351" spans="1:21" s="98" customFormat="1">
      <c r="A351" s="95"/>
      <c r="B351" s="35"/>
      <c r="C351" s="93"/>
      <c r="D351" s="94"/>
      <c r="E351" s="65"/>
      <c r="F351" s="212"/>
      <c r="G351" s="101"/>
      <c r="H351" s="42"/>
      <c r="I351" s="208"/>
      <c r="J351"/>
      <c r="K351"/>
      <c r="L351"/>
      <c r="Q351"/>
      <c r="U351" s="222"/>
    </row>
    <row r="352" spans="1:21" s="98" customFormat="1">
      <c r="A352" s="95"/>
      <c r="B352" s="35"/>
      <c r="C352" s="93"/>
      <c r="D352" s="94"/>
      <c r="E352" s="84" t="s">
        <v>608</v>
      </c>
      <c r="F352" s="212"/>
      <c r="G352" s="101"/>
      <c r="H352" s="42"/>
      <c r="I352" s="208"/>
      <c r="J352"/>
      <c r="K352"/>
      <c r="L352"/>
      <c r="Q352"/>
      <c r="U352" s="222"/>
    </row>
    <row r="353" spans="1:21" s="98" customFormat="1" ht="25.5">
      <c r="A353" s="95"/>
      <c r="B353" s="35"/>
      <c r="C353" s="93"/>
      <c r="D353" s="94"/>
      <c r="E353" s="65" t="s">
        <v>1226</v>
      </c>
      <c r="F353" s="212">
        <f>0.4*400</f>
        <v>160</v>
      </c>
      <c r="G353" s="101"/>
      <c r="H353" s="42"/>
      <c r="I353" s="208"/>
      <c r="J353"/>
      <c r="K353"/>
      <c r="L353"/>
      <c r="Q353"/>
      <c r="U353" s="222"/>
    </row>
    <row r="354" spans="1:21" s="98" customFormat="1">
      <c r="A354" s="95"/>
      <c r="B354" s="35"/>
      <c r="C354" s="93"/>
      <c r="D354" s="94"/>
      <c r="E354" s="91" t="s">
        <v>41</v>
      </c>
      <c r="F354" s="264">
        <f>F350+F353</f>
        <v>310</v>
      </c>
      <c r="G354" s="101"/>
      <c r="H354" s="42"/>
      <c r="I354" s="208"/>
      <c r="J354"/>
      <c r="K354"/>
      <c r="L354"/>
      <c r="Q354"/>
      <c r="U354" s="222"/>
    </row>
    <row r="355" spans="1:21" s="98" customFormat="1">
      <c r="A355" s="95"/>
      <c r="B355" s="35"/>
      <c r="C355" s="93"/>
      <c r="D355" s="94"/>
      <c r="E355" s="65"/>
      <c r="F355" s="212"/>
      <c r="G355" s="101"/>
      <c r="H355" s="42"/>
      <c r="I355" s="208"/>
      <c r="J355"/>
      <c r="K355"/>
      <c r="L355"/>
      <c r="Q355"/>
      <c r="U355" s="222"/>
    </row>
    <row r="356" spans="1:21" s="98" customFormat="1">
      <c r="A356" s="34">
        <f>MAX(A$1:A355)+1</f>
        <v>44</v>
      </c>
      <c r="B356" s="35"/>
      <c r="C356" s="36" t="s">
        <v>78</v>
      </c>
      <c r="D356" s="37"/>
      <c r="E356" s="38" t="s">
        <v>79</v>
      </c>
      <c r="F356" s="39"/>
      <c r="G356" s="40" t="s">
        <v>18</v>
      </c>
      <c r="H356" s="52">
        <v>122.5</v>
      </c>
      <c r="I356" s="208"/>
      <c r="J356"/>
      <c r="K356"/>
      <c r="L356"/>
      <c r="Q356"/>
      <c r="U356" s="222"/>
    </row>
    <row r="357" spans="1:21" s="98" customFormat="1">
      <c r="A357" s="95"/>
      <c r="B357" s="35"/>
      <c r="C357" s="93"/>
      <c r="D357" s="67" t="s">
        <v>167</v>
      </c>
      <c r="E357" s="71" t="s">
        <v>168</v>
      </c>
      <c r="F357" s="61"/>
      <c r="G357" s="62" t="s">
        <v>18</v>
      </c>
      <c r="H357" s="99">
        <v>122.5</v>
      </c>
      <c r="I357" s="208"/>
      <c r="J357"/>
      <c r="K357"/>
      <c r="L357"/>
      <c r="Q357"/>
      <c r="U357" s="222"/>
    </row>
    <row r="358" spans="1:21" s="98" customFormat="1" ht="25.5">
      <c r="A358" s="95"/>
      <c r="B358" s="35"/>
      <c r="C358" s="93"/>
      <c r="D358" s="94"/>
      <c r="E358" s="65" t="s">
        <v>1227</v>
      </c>
      <c r="F358" s="212">
        <f>0.5*245</f>
        <v>122.5</v>
      </c>
      <c r="G358" s="101"/>
      <c r="H358" s="42"/>
      <c r="I358" s="208"/>
      <c r="J358"/>
      <c r="K358"/>
      <c r="L358"/>
      <c r="Q358"/>
      <c r="U358" s="222"/>
    </row>
    <row r="359" spans="1:21" s="98" customFormat="1">
      <c r="A359" s="95"/>
      <c r="B359" s="35"/>
      <c r="C359" s="93"/>
      <c r="D359" s="94"/>
      <c r="E359" s="65"/>
      <c r="F359" s="212"/>
      <c r="G359" s="101"/>
      <c r="H359" s="42"/>
      <c r="I359" s="208"/>
      <c r="J359"/>
      <c r="K359"/>
      <c r="L359"/>
      <c r="Q359"/>
      <c r="U359" s="222"/>
    </row>
    <row r="360" spans="1:21" ht="25.5">
      <c r="A360" s="34">
        <f>MAX(A$1:A359)+1</f>
        <v>45</v>
      </c>
      <c r="B360" s="43"/>
      <c r="C360" s="36" t="s">
        <v>249</v>
      </c>
      <c r="D360" s="37"/>
      <c r="E360" s="38" t="s">
        <v>250</v>
      </c>
      <c r="F360" s="39"/>
      <c r="G360" s="40" t="s">
        <v>21</v>
      </c>
      <c r="H360" s="64">
        <v>2138</v>
      </c>
    </row>
    <row r="361" spans="1:21" s="111" customFormat="1" ht="25.5">
      <c r="A361" s="179"/>
      <c r="B361" s="256"/>
      <c r="C361" s="66"/>
      <c r="D361" s="67" t="s">
        <v>251</v>
      </c>
      <c r="E361" s="71" t="s">
        <v>252</v>
      </c>
      <c r="F361" s="61"/>
      <c r="G361" s="62" t="s">
        <v>21</v>
      </c>
      <c r="H361" s="83">
        <v>2138</v>
      </c>
      <c r="I361" s="6"/>
      <c r="Q361"/>
      <c r="U361" s="6"/>
    </row>
    <row r="362" spans="1:21" s="111" customFormat="1">
      <c r="A362" s="179"/>
      <c r="B362" s="256"/>
      <c r="C362" s="79"/>
      <c r="D362" s="67"/>
      <c r="E362" s="77" t="s">
        <v>878</v>
      </c>
      <c r="F362" s="231">
        <v>695</v>
      </c>
      <c r="G362" s="62"/>
      <c r="H362" s="246"/>
      <c r="I362" s="6"/>
      <c r="Q362"/>
      <c r="U362" s="6"/>
    </row>
    <row r="363" spans="1:21" s="111" customFormat="1">
      <c r="A363" s="179"/>
      <c r="B363" s="256"/>
      <c r="C363" s="79"/>
      <c r="D363" s="67"/>
      <c r="E363" s="77" t="s">
        <v>978</v>
      </c>
      <c r="F363" s="133">
        <v>1443</v>
      </c>
      <c r="G363" s="62"/>
      <c r="H363" s="246"/>
      <c r="I363" s="6"/>
      <c r="Q363"/>
      <c r="U363" s="6"/>
    </row>
    <row r="364" spans="1:21" s="111" customFormat="1">
      <c r="A364" s="179"/>
      <c r="B364" s="256"/>
      <c r="C364" s="79"/>
      <c r="D364" s="67"/>
      <c r="E364" s="77"/>
      <c r="F364" s="81">
        <f>SUM(F362:F363)</f>
        <v>2138</v>
      </c>
      <c r="G364" s="62"/>
      <c r="H364" s="246"/>
      <c r="I364" s="6"/>
      <c r="Q364"/>
      <c r="U364" s="6"/>
    </row>
    <row r="365" spans="1:21" s="111" customFormat="1">
      <c r="A365" s="179"/>
      <c r="B365" s="256"/>
      <c r="C365" s="79"/>
      <c r="D365" s="67"/>
      <c r="E365" s="77"/>
      <c r="F365" s="81"/>
      <c r="G365" s="62"/>
      <c r="H365" s="246"/>
      <c r="I365" s="6"/>
      <c r="Q365"/>
      <c r="U365" s="6"/>
    </row>
    <row r="366" spans="1:21" s="111" customFormat="1">
      <c r="A366" s="34">
        <f>MAX(A$1:A365)+1</f>
        <v>46</v>
      </c>
      <c r="B366" s="256"/>
      <c r="C366" s="36" t="s">
        <v>257</v>
      </c>
      <c r="D366" s="37"/>
      <c r="E366" s="38" t="s">
        <v>258</v>
      </c>
      <c r="F366" s="39"/>
      <c r="G366" s="40" t="s">
        <v>21</v>
      </c>
      <c r="H366" s="52">
        <v>67</v>
      </c>
      <c r="I366" s="6"/>
      <c r="Q366"/>
      <c r="U366" s="6"/>
    </row>
    <row r="367" spans="1:21" s="111" customFormat="1" ht="25.5">
      <c r="A367" s="179"/>
      <c r="B367" s="256"/>
      <c r="C367" s="66"/>
      <c r="D367" s="67" t="s">
        <v>259</v>
      </c>
      <c r="E367" s="71" t="s">
        <v>260</v>
      </c>
      <c r="F367" s="61"/>
      <c r="G367" s="62" t="s">
        <v>21</v>
      </c>
      <c r="H367" s="99">
        <v>67</v>
      </c>
      <c r="I367" s="6"/>
      <c r="Q367"/>
      <c r="U367" s="6"/>
    </row>
    <row r="368" spans="1:21" s="111" customFormat="1">
      <c r="A368" s="179"/>
      <c r="B368" s="256"/>
      <c r="C368" s="79"/>
      <c r="D368" s="67"/>
      <c r="E368" s="77" t="s">
        <v>880</v>
      </c>
      <c r="F368" s="81">
        <v>67</v>
      </c>
      <c r="G368" s="62"/>
      <c r="H368" s="246"/>
      <c r="I368" s="6"/>
      <c r="Q368"/>
      <c r="U368" s="6"/>
    </row>
    <row r="369" spans="1:21" s="111" customFormat="1">
      <c r="A369" s="179"/>
      <c r="B369" s="256"/>
      <c r="C369" s="79"/>
      <c r="D369" s="67"/>
      <c r="E369" s="77"/>
      <c r="F369" s="257"/>
      <c r="G369" s="62"/>
      <c r="H369" s="246"/>
      <c r="I369" s="6"/>
      <c r="Q369"/>
      <c r="U369" s="6"/>
    </row>
    <row r="370" spans="1:21" s="111" customFormat="1">
      <c r="A370" s="179"/>
      <c r="B370" s="35" t="s">
        <v>56</v>
      </c>
      <c r="C370" s="93"/>
      <c r="D370" s="94"/>
      <c r="E370" s="96" t="s">
        <v>57</v>
      </c>
      <c r="F370" s="81"/>
      <c r="G370" s="62"/>
      <c r="H370" s="246"/>
      <c r="I370" s="6"/>
      <c r="Q370"/>
      <c r="U370" s="6"/>
    </row>
    <row r="371" spans="1:21" s="111" customFormat="1">
      <c r="A371" s="179"/>
      <c r="B371" s="35"/>
      <c r="C371" s="93"/>
      <c r="D371" s="94"/>
      <c r="E371" s="50"/>
      <c r="F371" s="81"/>
      <c r="G371" s="62"/>
      <c r="H371" s="246"/>
      <c r="I371" s="6"/>
      <c r="Q371"/>
      <c r="U371" s="6"/>
    </row>
    <row r="372" spans="1:21" s="111" customFormat="1">
      <c r="A372" s="34">
        <f>MAX(A$1:A371)+1</f>
        <v>47</v>
      </c>
      <c r="B372" s="256"/>
      <c r="C372" s="36" t="s">
        <v>58</v>
      </c>
      <c r="D372" s="37"/>
      <c r="E372" s="38" t="s">
        <v>59</v>
      </c>
      <c r="F372" s="39"/>
      <c r="G372" s="40" t="s">
        <v>18</v>
      </c>
      <c r="H372" s="64">
        <v>439.32</v>
      </c>
      <c r="I372" s="497"/>
      <c r="Q372"/>
      <c r="U372" s="6"/>
    </row>
    <row r="373" spans="1:21" s="111" customFormat="1">
      <c r="A373" s="179"/>
      <c r="B373" s="256"/>
      <c r="C373" s="66"/>
      <c r="D373" s="67" t="s">
        <v>60</v>
      </c>
      <c r="E373" s="71" t="s">
        <v>61</v>
      </c>
      <c r="F373" s="61"/>
      <c r="G373" s="62" t="s">
        <v>18</v>
      </c>
      <c r="H373" s="83">
        <v>439.32</v>
      </c>
      <c r="I373" s="6"/>
      <c r="Q373"/>
      <c r="U373" s="6"/>
    </row>
    <row r="374" spans="1:21" s="111" customFormat="1">
      <c r="A374" s="179"/>
      <c r="B374" s="256"/>
      <c r="C374" s="66"/>
      <c r="D374" s="67"/>
      <c r="E374" s="65" t="s">
        <v>166</v>
      </c>
      <c r="F374" s="46">
        <f>F327</f>
        <v>346.8</v>
      </c>
      <c r="G374" s="62"/>
      <c r="H374" s="83"/>
      <c r="I374" s="6"/>
      <c r="Q374"/>
      <c r="U374" s="6"/>
    </row>
    <row r="375" spans="1:21" s="111" customFormat="1">
      <c r="A375" s="179"/>
      <c r="B375" s="256"/>
      <c r="C375" s="66"/>
      <c r="D375" s="67"/>
      <c r="E375" s="65"/>
      <c r="F375" s="46"/>
      <c r="G375" s="62"/>
      <c r="H375" s="83"/>
      <c r="I375" s="6"/>
      <c r="Q375"/>
      <c r="U375" s="6"/>
    </row>
    <row r="376" spans="1:21" s="111" customFormat="1">
      <c r="A376" s="179"/>
      <c r="B376" s="256"/>
      <c r="C376" s="66"/>
      <c r="D376" s="67"/>
      <c r="E376" s="65" t="s">
        <v>1228</v>
      </c>
      <c r="F376" s="46">
        <f>F397</f>
        <v>92.521900000000016</v>
      </c>
      <c r="G376" s="62"/>
      <c r="H376" s="83"/>
      <c r="I376" s="6"/>
      <c r="Q376"/>
      <c r="U376" s="6"/>
    </row>
    <row r="377" spans="1:21" s="111" customFormat="1">
      <c r="A377" s="179"/>
      <c r="B377" s="256"/>
      <c r="C377" s="66"/>
      <c r="D377" s="67"/>
      <c r="E377" s="91" t="s">
        <v>41</v>
      </c>
      <c r="F377" s="123">
        <f>F374+F376</f>
        <v>439.32190000000003</v>
      </c>
      <c r="G377" s="62"/>
      <c r="H377" s="83"/>
      <c r="I377" s="6"/>
      <c r="Q377"/>
      <c r="U377" s="6"/>
    </row>
    <row r="378" spans="1:21" s="111" customFormat="1">
      <c r="A378" s="179"/>
      <c r="B378" s="256"/>
      <c r="C378" s="66"/>
      <c r="D378" s="67"/>
      <c r="E378" s="71"/>
      <c r="F378" s="61"/>
      <c r="G378" s="62"/>
      <c r="H378" s="83"/>
      <c r="I378" s="6"/>
      <c r="Q378"/>
      <c r="U378" s="6"/>
    </row>
    <row r="379" spans="1:21" s="111" customFormat="1">
      <c r="A379" s="34">
        <f>MAX(A$1:A378)+1</f>
        <v>48</v>
      </c>
      <c r="B379" s="256"/>
      <c r="C379" s="36" t="s">
        <v>175</v>
      </c>
      <c r="D379" s="37"/>
      <c r="E379" s="38" t="s">
        <v>775</v>
      </c>
      <c r="F379" s="39"/>
      <c r="G379" s="40" t="s">
        <v>18</v>
      </c>
      <c r="H379" s="64">
        <v>346.8</v>
      </c>
      <c r="I379" s="6"/>
      <c r="Q379"/>
      <c r="U379" s="6"/>
    </row>
    <row r="380" spans="1:21" s="111" customFormat="1" ht="25.5">
      <c r="A380" s="179"/>
      <c r="B380" s="256"/>
      <c r="C380" s="66"/>
      <c r="D380" s="67" t="s">
        <v>177</v>
      </c>
      <c r="E380" s="71" t="s">
        <v>178</v>
      </c>
      <c r="F380" s="61"/>
      <c r="G380" s="62" t="s">
        <v>18</v>
      </c>
      <c r="H380" s="83">
        <v>346.8</v>
      </c>
      <c r="I380" s="6"/>
      <c r="Q380"/>
      <c r="U380" s="6"/>
    </row>
    <row r="381" spans="1:21" s="111" customFormat="1">
      <c r="A381" s="179"/>
      <c r="B381" s="256"/>
      <c r="C381" s="66"/>
      <c r="D381" s="67"/>
      <c r="E381" s="65" t="s">
        <v>290</v>
      </c>
      <c r="F381" s="46">
        <f>F374</f>
        <v>346.8</v>
      </c>
      <c r="G381" s="62"/>
      <c r="H381" s="246"/>
      <c r="I381" s="6"/>
      <c r="Q381"/>
      <c r="U381" s="6"/>
    </row>
    <row r="382" spans="1:21" s="111" customFormat="1">
      <c r="A382" s="179"/>
      <c r="B382" s="256"/>
      <c r="C382" s="66"/>
      <c r="D382" s="67"/>
      <c r="E382" s="65"/>
      <c r="F382" s="46"/>
      <c r="G382" s="62"/>
      <c r="H382" s="246"/>
      <c r="I382" s="6"/>
      <c r="Q382"/>
      <c r="U382" s="6"/>
    </row>
    <row r="383" spans="1:21" s="111" customFormat="1">
      <c r="A383" s="34">
        <f>MAX(A$1:A382)+1</f>
        <v>49</v>
      </c>
      <c r="B383" s="256"/>
      <c r="C383" s="36" t="s">
        <v>62</v>
      </c>
      <c r="D383" s="37"/>
      <c r="E383" s="38" t="s">
        <v>63</v>
      </c>
      <c r="F383" s="39"/>
      <c r="G383" s="40" t="s">
        <v>18</v>
      </c>
      <c r="H383" s="64">
        <v>290</v>
      </c>
      <c r="I383" s="6"/>
      <c r="Q383"/>
      <c r="U383" s="6"/>
    </row>
    <row r="384" spans="1:21" s="111" customFormat="1" ht="25.5">
      <c r="A384" s="179"/>
      <c r="B384" s="256"/>
      <c r="C384" s="66"/>
      <c r="D384" s="67" t="s">
        <v>64</v>
      </c>
      <c r="E384" s="71" t="s">
        <v>89</v>
      </c>
      <c r="F384" s="61"/>
      <c r="G384" s="62" t="s">
        <v>18</v>
      </c>
      <c r="H384" s="83">
        <v>290</v>
      </c>
      <c r="I384" s="6"/>
      <c r="Q384"/>
      <c r="U384" s="6"/>
    </row>
    <row r="385" spans="1:21" s="111" customFormat="1">
      <c r="A385" s="179"/>
      <c r="B385" s="256"/>
      <c r="C385" s="66"/>
      <c r="D385" s="67"/>
      <c r="E385" s="65" t="s">
        <v>1229</v>
      </c>
      <c r="F385" s="46">
        <v>290</v>
      </c>
      <c r="G385" s="62"/>
      <c r="H385" s="246"/>
      <c r="I385" s="6"/>
      <c r="Q385"/>
      <c r="U385" s="6"/>
    </row>
    <row r="386" spans="1:21" s="111" customFormat="1">
      <c r="A386" s="179"/>
      <c r="B386" s="256"/>
      <c r="C386" s="66"/>
      <c r="D386" s="67"/>
      <c r="E386" s="65"/>
      <c r="F386" s="46"/>
      <c r="G386" s="62"/>
      <c r="H386" s="246"/>
      <c r="I386" s="6"/>
      <c r="Q386"/>
      <c r="U386" s="6"/>
    </row>
    <row r="387" spans="1:21" s="111" customFormat="1">
      <c r="A387" s="34">
        <f>MAX(A$1:A386)+1</f>
        <v>50</v>
      </c>
      <c r="B387" s="256"/>
      <c r="C387" s="36" t="s">
        <v>50</v>
      </c>
      <c r="D387" s="37"/>
      <c r="E387" s="38" t="s">
        <v>51</v>
      </c>
      <c r="F387" s="39"/>
      <c r="G387" s="40" t="s">
        <v>18</v>
      </c>
      <c r="H387" s="64">
        <v>92.52</v>
      </c>
      <c r="I387" s="497"/>
      <c r="Q387"/>
      <c r="U387" s="6"/>
    </row>
    <row r="388" spans="1:21" s="111" customFormat="1" ht="25.5">
      <c r="A388" s="179"/>
      <c r="B388" s="256"/>
      <c r="C388" s="66"/>
      <c r="D388" s="67" t="s">
        <v>138</v>
      </c>
      <c r="E388" s="71" t="s">
        <v>139</v>
      </c>
      <c r="F388" s="61"/>
      <c r="G388" s="62" t="s">
        <v>18</v>
      </c>
      <c r="H388" s="83">
        <v>92.52</v>
      </c>
      <c r="I388" s="6"/>
      <c r="Q388"/>
      <c r="U388" s="6"/>
    </row>
    <row r="389" spans="1:21" s="111" customFormat="1">
      <c r="A389" s="179"/>
      <c r="B389" s="256"/>
      <c r="C389" s="66"/>
      <c r="D389" s="67"/>
      <c r="E389" s="84" t="s">
        <v>1230</v>
      </c>
      <c r="F389" s="46"/>
      <c r="G389" s="62"/>
      <c r="H389" s="246"/>
      <c r="I389" s="6"/>
      <c r="Q389"/>
      <c r="U389" s="6"/>
    </row>
    <row r="390" spans="1:21" s="111" customFormat="1">
      <c r="A390" s="179"/>
      <c r="B390" s="256"/>
      <c r="C390" s="66"/>
      <c r="D390" s="67"/>
      <c r="E390" s="65" t="s">
        <v>1231</v>
      </c>
      <c r="F390" s="46">
        <f>F331</f>
        <v>147.5</v>
      </c>
      <c r="G390" s="62"/>
      <c r="H390" s="246"/>
      <c r="I390" s="6"/>
      <c r="Q390"/>
      <c r="U390" s="6"/>
    </row>
    <row r="391" spans="1:21" s="111" customFormat="1" ht="25.5">
      <c r="A391" s="179"/>
      <c r="B391" s="256"/>
      <c r="C391" s="66"/>
      <c r="D391" s="67"/>
      <c r="E391" s="65" t="s">
        <v>1221</v>
      </c>
      <c r="F391" s="46">
        <f>F332</f>
        <v>160</v>
      </c>
      <c r="G391" s="62"/>
      <c r="H391" s="246"/>
      <c r="I391" s="6"/>
      <c r="Q391"/>
      <c r="U391" s="6"/>
    </row>
    <row r="392" spans="1:21" s="111" customFormat="1">
      <c r="A392" s="179"/>
      <c r="B392" s="256"/>
      <c r="C392" s="66"/>
      <c r="D392" s="67"/>
      <c r="E392" s="65" t="s">
        <v>1222</v>
      </c>
      <c r="F392" s="46">
        <f>F337</f>
        <v>51</v>
      </c>
      <c r="G392" s="62"/>
      <c r="H392" s="246"/>
      <c r="I392" s="6"/>
      <c r="Q392"/>
      <c r="U392" s="6"/>
    </row>
    <row r="393" spans="1:21" s="111" customFormat="1">
      <c r="A393" s="179"/>
      <c r="B393" s="256"/>
      <c r="C393" s="66"/>
      <c r="D393" s="67"/>
      <c r="E393" s="65" t="s">
        <v>1232</v>
      </c>
      <c r="F393" s="46">
        <f>F343</f>
        <v>15.119999999999997</v>
      </c>
      <c r="G393" s="62"/>
      <c r="H393" s="246"/>
      <c r="I393" s="6"/>
      <c r="Q393"/>
      <c r="U393" s="6"/>
    </row>
    <row r="394" spans="1:21" s="111" customFormat="1">
      <c r="A394" s="179"/>
      <c r="B394" s="256"/>
      <c r="C394" s="66"/>
      <c r="D394" s="67"/>
      <c r="E394" s="65" t="s">
        <v>808</v>
      </c>
      <c r="F394" s="69">
        <f>3.14*0.45*0.45*F704</f>
        <v>8.9019000000000013</v>
      </c>
      <c r="G394" s="62"/>
      <c r="H394" s="246"/>
      <c r="I394" s="6"/>
      <c r="Q394"/>
      <c r="U394" s="6"/>
    </row>
    <row r="395" spans="1:21" s="111" customFormat="1">
      <c r="A395" s="179"/>
      <c r="B395" s="256"/>
      <c r="C395" s="66"/>
      <c r="D395" s="67"/>
      <c r="E395" s="65"/>
      <c r="F395" s="46">
        <f>SUM(F390:F394)</f>
        <v>382.52190000000002</v>
      </c>
      <c r="G395" s="62"/>
      <c r="H395" s="246"/>
      <c r="I395" s="6"/>
      <c r="Q395"/>
      <c r="U395" s="6"/>
    </row>
    <row r="396" spans="1:21" s="111" customFormat="1">
      <c r="A396" s="179"/>
      <c r="B396" s="256"/>
      <c r="C396" s="66"/>
      <c r="D396" s="67"/>
      <c r="E396" s="65" t="s">
        <v>1233</v>
      </c>
      <c r="F396" s="69">
        <f>-F385</f>
        <v>-290</v>
      </c>
      <c r="G396" s="62"/>
      <c r="H396" s="246"/>
      <c r="I396" s="6"/>
      <c r="Q396"/>
      <c r="U396" s="6"/>
    </row>
    <row r="397" spans="1:21" s="111" customFormat="1">
      <c r="A397" s="179"/>
      <c r="B397" s="256"/>
      <c r="C397" s="66"/>
      <c r="D397" s="67"/>
      <c r="E397" s="65"/>
      <c r="F397" s="123">
        <f>SUM(F395:F396)</f>
        <v>92.521900000000016</v>
      </c>
      <c r="G397" s="62"/>
      <c r="H397" s="246"/>
      <c r="I397" s="6"/>
      <c r="Q397"/>
      <c r="U397" s="6"/>
    </row>
    <row r="398" spans="1:21" s="111" customFormat="1">
      <c r="A398" s="179"/>
      <c r="B398" s="256"/>
      <c r="C398" s="66"/>
      <c r="D398" s="67"/>
      <c r="E398" s="71"/>
      <c r="F398" s="61"/>
      <c r="G398" s="62"/>
      <c r="H398" s="246"/>
      <c r="I398" s="6"/>
      <c r="Q398"/>
      <c r="U398" s="6"/>
    </row>
    <row r="399" spans="1:21" s="111" customFormat="1">
      <c r="A399" s="34">
        <f>MAX(A$1:A398)+1</f>
        <v>51</v>
      </c>
      <c r="B399" s="43"/>
      <c r="C399" s="36" t="s">
        <v>291</v>
      </c>
      <c r="D399" s="37"/>
      <c r="E399" s="38" t="s">
        <v>292</v>
      </c>
      <c r="F399" s="39"/>
      <c r="G399" s="40" t="s">
        <v>18</v>
      </c>
      <c r="H399" s="64">
        <v>346.8</v>
      </c>
      <c r="I399" s="6"/>
      <c r="Q399"/>
      <c r="U399" s="6"/>
    </row>
    <row r="400" spans="1:21" s="111" customFormat="1" ht="25.5">
      <c r="A400" s="72"/>
      <c r="B400" s="73"/>
      <c r="C400" s="66"/>
      <c r="D400" s="67" t="s">
        <v>293</v>
      </c>
      <c r="E400" s="71" t="s">
        <v>294</v>
      </c>
      <c r="F400" s="61"/>
      <c r="G400" s="62" t="s">
        <v>18</v>
      </c>
      <c r="H400" s="83">
        <v>346.8</v>
      </c>
      <c r="I400" s="6"/>
      <c r="Q400"/>
      <c r="U400" s="6"/>
    </row>
    <row r="401" spans="1:21" s="111" customFormat="1">
      <c r="A401" s="95"/>
      <c r="B401" s="35"/>
      <c r="C401" s="93"/>
      <c r="D401" s="94"/>
      <c r="E401" s="168" t="s">
        <v>295</v>
      </c>
      <c r="F401" s="104">
        <f>F327</f>
        <v>346.8</v>
      </c>
      <c r="G401" s="97"/>
      <c r="H401" s="246"/>
      <c r="I401" s="6"/>
      <c r="Q401"/>
      <c r="U401" s="6"/>
    </row>
    <row r="402" spans="1:21" s="111" customFormat="1">
      <c r="A402" s="179"/>
      <c r="B402" s="256"/>
      <c r="C402" s="66"/>
      <c r="D402" s="67"/>
      <c r="E402" s="71"/>
      <c r="F402" s="61"/>
      <c r="G402" s="62"/>
      <c r="H402" s="246"/>
      <c r="I402" s="6"/>
      <c r="Q402"/>
      <c r="U402" s="6"/>
    </row>
    <row r="403" spans="1:21" s="111" customFormat="1">
      <c r="A403" s="34">
        <f>MAX(A$1:A402)+1</f>
        <v>52</v>
      </c>
      <c r="B403" s="256"/>
      <c r="C403" s="36" t="s">
        <v>83</v>
      </c>
      <c r="D403" s="37"/>
      <c r="E403" s="38" t="s">
        <v>84</v>
      </c>
      <c r="F403" s="39"/>
      <c r="G403" s="40" t="s">
        <v>18</v>
      </c>
      <c r="H403" s="64">
        <v>346.8</v>
      </c>
      <c r="I403" s="6"/>
      <c r="Q403"/>
      <c r="U403" s="6"/>
    </row>
    <row r="404" spans="1:21" s="111" customFormat="1" ht="25.5">
      <c r="A404" s="179"/>
      <c r="B404" s="256"/>
      <c r="C404" s="66"/>
      <c r="D404" s="67" t="s">
        <v>85</v>
      </c>
      <c r="E404" s="71" t="s">
        <v>86</v>
      </c>
      <c r="F404" s="61"/>
      <c r="G404" s="62" t="s">
        <v>18</v>
      </c>
      <c r="H404" s="83">
        <v>346.8</v>
      </c>
      <c r="I404" s="6"/>
      <c r="Q404"/>
      <c r="U404" s="6"/>
    </row>
    <row r="405" spans="1:21" s="111" customFormat="1">
      <c r="A405" s="179"/>
      <c r="B405" s="256"/>
      <c r="C405" s="66"/>
      <c r="D405" s="67"/>
      <c r="E405" s="168" t="s">
        <v>184</v>
      </c>
      <c r="F405" s="90">
        <f>F374</f>
        <v>346.8</v>
      </c>
      <c r="G405" s="62"/>
      <c r="H405" s="246"/>
      <c r="I405" s="6"/>
      <c r="Q405"/>
      <c r="U405" s="6"/>
    </row>
    <row r="406" spans="1:21" s="111" customFormat="1">
      <c r="A406" s="179"/>
      <c r="B406" s="256"/>
      <c r="C406" s="66"/>
      <c r="D406" s="67"/>
      <c r="E406" s="168"/>
      <c r="F406" s="90"/>
      <c r="G406" s="62"/>
      <c r="H406" s="246"/>
      <c r="I406" s="6"/>
      <c r="Q406"/>
      <c r="U406" s="6"/>
    </row>
    <row r="407" spans="1:21" s="111" customFormat="1" ht="25.5">
      <c r="A407" s="179"/>
      <c r="B407" s="35" t="s">
        <v>324</v>
      </c>
      <c r="C407" s="35"/>
      <c r="D407" s="94"/>
      <c r="E407" s="50" t="s">
        <v>325</v>
      </c>
      <c r="F407" s="90"/>
      <c r="G407" s="62"/>
      <c r="H407" s="246"/>
      <c r="I407" s="6"/>
      <c r="Q407"/>
      <c r="U407" s="6"/>
    </row>
    <row r="408" spans="1:21" s="111" customFormat="1">
      <c r="A408" s="179"/>
      <c r="B408" s="270"/>
      <c r="C408" s="35"/>
      <c r="D408" s="94"/>
      <c r="E408" s="50"/>
      <c r="F408" s="90"/>
      <c r="G408" s="62"/>
      <c r="H408" s="246"/>
      <c r="I408" s="6"/>
      <c r="Q408"/>
      <c r="U408" s="6"/>
    </row>
    <row r="409" spans="1:21" s="111" customFormat="1" ht="25.5">
      <c r="A409" s="34">
        <f>MAX(A$1:A407)+1</f>
        <v>53</v>
      </c>
      <c r="B409" s="256"/>
      <c r="C409" s="36" t="s">
        <v>326</v>
      </c>
      <c r="D409" s="37"/>
      <c r="E409" s="38" t="s">
        <v>327</v>
      </c>
      <c r="F409" s="39"/>
      <c r="G409" s="40" t="s">
        <v>21</v>
      </c>
      <c r="H409" s="128">
        <v>727.94</v>
      </c>
      <c r="I409" s="6"/>
      <c r="Q409"/>
      <c r="U409" s="6"/>
    </row>
    <row r="410" spans="1:21" s="111" customFormat="1" ht="25.5">
      <c r="A410" s="179"/>
      <c r="B410" s="256"/>
      <c r="C410" s="66"/>
      <c r="D410" s="67" t="s">
        <v>328</v>
      </c>
      <c r="E410" s="71" t="s">
        <v>329</v>
      </c>
      <c r="F410" s="61"/>
      <c r="G410" s="62" t="s">
        <v>21</v>
      </c>
      <c r="H410" s="124">
        <v>383.72</v>
      </c>
      <c r="I410" s="6"/>
      <c r="Q410"/>
      <c r="U410" s="6"/>
    </row>
    <row r="411" spans="1:21" s="111" customFormat="1" ht="25.5">
      <c r="A411" s="179"/>
      <c r="B411" s="256"/>
      <c r="C411" s="66"/>
      <c r="D411" s="67"/>
      <c r="E411" s="65" t="s">
        <v>1234</v>
      </c>
      <c r="F411" s="46">
        <f>0.12*375</f>
        <v>45</v>
      </c>
      <c r="G411" s="62"/>
      <c r="H411" s="124"/>
      <c r="I411" s="6"/>
      <c r="Q411"/>
      <c r="U411" s="6"/>
    </row>
    <row r="412" spans="1:21" s="111" customFormat="1" ht="25.5">
      <c r="A412" s="179"/>
      <c r="B412" s="256"/>
      <c r="C412" s="66"/>
      <c r="D412" s="67"/>
      <c r="E412" s="65" t="s">
        <v>1235</v>
      </c>
      <c r="F412" s="46">
        <f>0.25*433</f>
        <v>108.25</v>
      </c>
      <c r="G412" s="62"/>
      <c r="H412" s="124"/>
      <c r="I412" s="6"/>
      <c r="Q412"/>
      <c r="U412" s="6"/>
    </row>
    <row r="413" spans="1:21" s="111" customFormat="1" ht="25.5">
      <c r="A413" s="179"/>
      <c r="B413" s="256"/>
      <c r="C413" s="66"/>
      <c r="D413" s="67"/>
      <c r="E413" s="65" t="s">
        <v>1236</v>
      </c>
      <c r="F413" s="46">
        <f>0.3*209</f>
        <v>62.699999999999996</v>
      </c>
      <c r="G413" s="62"/>
      <c r="H413" s="124"/>
      <c r="I413" s="6"/>
      <c r="Q413"/>
      <c r="U413" s="6"/>
    </row>
    <row r="414" spans="1:21" s="111" customFormat="1" ht="25.5">
      <c r="A414" s="179"/>
      <c r="B414" s="256"/>
      <c r="C414" s="66"/>
      <c r="D414" s="67"/>
      <c r="E414" s="65" t="s">
        <v>1237</v>
      </c>
      <c r="F414" s="46">
        <f>0.25*481/2</f>
        <v>60.125</v>
      </c>
      <c r="G414" s="62"/>
      <c r="H414" s="124"/>
      <c r="I414" s="602"/>
      <c r="Q414"/>
      <c r="U414" s="6"/>
    </row>
    <row r="415" spans="1:21" s="111" customFormat="1" ht="25.5">
      <c r="A415" s="179"/>
      <c r="B415" s="256"/>
      <c r="C415" s="66"/>
      <c r="D415" s="67"/>
      <c r="E415" s="65" t="s">
        <v>1238</v>
      </c>
      <c r="F415" s="46">
        <f>0.12*806/2</f>
        <v>48.36</v>
      </c>
      <c r="G415" s="62"/>
      <c r="H415" s="124"/>
      <c r="I415" s="6"/>
      <c r="Q415"/>
      <c r="U415" s="6"/>
    </row>
    <row r="416" spans="1:21" s="111" customFormat="1" ht="25.5">
      <c r="A416" s="179"/>
      <c r="B416" s="256"/>
      <c r="C416" s="66"/>
      <c r="D416" s="67"/>
      <c r="E416" s="65" t="s">
        <v>1239</v>
      </c>
      <c r="F416" s="46">
        <f>0.12*942/3</f>
        <v>37.68</v>
      </c>
      <c r="G416" s="62"/>
      <c r="H416" s="124"/>
      <c r="I416" s="6"/>
      <c r="Q416"/>
      <c r="U416" s="6"/>
    </row>
    <row r="417" spans="1:21" s="111" customFormat="1" ht="25.5">
      <c r="A417" s="179"/>
      <c r="B417" s="256"/>
      <c r="C417" s="66"/>
      <c r="D417" s="67"/>
      <c r="E417" s="65" t="s">
        <v>1240</v>
      </c>
      <c r="F417" s="69">
        <f>0.12*90*3/1.5</f>
        <v>21.599999999999998</v>
      </c>
      <c r="G417" s="62"/>
      <c r="H417" s="124"/>
      <c r="I417" s="6"/>
      <c r="Q417"/>
      <c r="U417" s="6"/>
    </row>
    <row r="418" spans="1:21" s="111" customFormat="1">
      <c r="A418" s="179"/>
      <c r="B418" s="256"/>
      <c r="C418" s="66"/>
      <c r="D418" s="67"/>
      <c r="E418" s="65"/>
      <c r="F418" s="46">
        <f>SUM(F411:F417)</f>
        <v>383.71500000000003</v>
      </c>
      <c r="G418" s="62"/>
      <c r="H418" s="124"/>
      <c r="I418" s="6"/>
      <c r="Q418"/>
      <c r="U418" s="6"/>
    </row>
    <row r="419" spans="1:21" s="111" customFormat="1" ht="25.5">
      <c r="A419" s="179"/>
      <c r="B419" s="256"/>
      <c r="C419" s="66"/>
      <c r="D419" s="67" t="s">
        <v>330</v>
      </c>
      <c r="E419" s="71" t="s">
        <v>331</v>
      </c>
      <c r="F419" s="61"/>
      <c r="G419" s="62" t="s">
        <v>21</v>
      </c>
      <c r="H419" s="124">
        <v>103.15</v>
      </c>
      <c r="I419" s="6"/>
      <c r="Q419"/>
      <c r="U419" s="6"/>
    </row>
    <row r="420" spans="1:21" s="111" customFormat="1" ht="25.5">
      <c r="A420" s="179"/>
      <c r="B420" s="256"/>
      <c r="C420" s="66"/>
      <c r="D420" s="67"/>
      <c r="E420" s="65" t="s">
        <v>1241</v>
      </c>
      <c r="F420" s="68">
        <f>0.12*169</f>
        <v>20.279999999999998</v>
      </c>
      <c r="G420" s="62"/>
      <c r="H420" s="124"/>
      <c r="I420" s="6"/>
      <c r="Q420"/>
      <c r="U420" s="6"/>
    </row>
    <row r="421" spans="1:21" s="111" customFormat="1" ht="25.5">
      <c r="A421" s="179"/>
      <c r="B421" s="256"/>
      <c r="C421" s="66"/>
      <c r="D421" s="67"/>
      <c r="E421" s="65" t="s">
        <v>1242</v>
      </c>
      <c r="F421" s="68">
        <f>2*0.12*224</f>
        <v>53.76</v>
      </c>
      <c r="G421" s="62"/>
      <c r="H421" s="124"/>
      <c r="I421" s="6"/>
      <c r="Q421"/>
      <c r="U421" s="6"/>
    </row>
    <row r="422" spans="1:21" s="111" customFormat="1" ht="25.5">
      <c r="A422" s="179"/>
      <c r="B422" s="256"/>
      <c r="C422" s="66"/>
      <c r="D422" s="67"/>
      <c r="E422" s="65" t="s">
        <v>1243</v>
      </c>
      <c r="F422" s="46">
        <f>0.25*90</f>
        <v>22.5</v>
      </c>
      <c r="G422" s="62"/>
      <c r="H422" s="124"/>
      <c r="I422" s="6"/>
      <c r="Q422"/>
      <c r="U422" s="6"/>
    </row>
    <row r="423" spans="1:21" s="111" customFormat="1" ht="25.5">
      <c r="A423" s="179"/>
      <c r="B423" s="256"/>
      <c r="C423" s="66"/>
      <c r="D423" s="67"/>
      <c r="E423" s="65" t="s">
        <v>1244</v>
      </c>
      <c r="F423" s="46">
        <f>0.12*12/2*2</f>
        <v>1.44</v>
      </c>
      <c r="G423" s="62"/>
      <c r="H423" s="124"/>
      <c r="I423" s="6"/>
      <c r="Q423"/>
      <c r="U423" s="6"/>
    </row>
    <row r="424" spans="1:21" s="111" customFormat="1" ht="25.5">
      <c r="A424" s="179"/>
      <c r="B424" s="256"/>
      <c r="C424" s="66"/>
      <c r="D424" s="67"/>
      <c r="E424" s="65" t="s">
        <v>1245</v>
      </c>
      <c r="F424" s="46">
        <f>0.25*25/2</f>
        <v>3.125</v>
      </c>
      <c r="G424" s="62"/>
      <c r="H424" s="124"/>
      <c r="I424" s="6"/>
      <c r="Q424"/>
      <c r="U424" s="6"/>
    </row>
    <row r="425" spans="1:21" s="111" customFormat="1" ht="38.25">
      <c r="A425" s="179"/>
      <c r="B425" s="256"/>
      <c r="C425" s="66"/>
      <c r="D425" s="67"/>
      <c r="E425" s="65" t="s">
        <v>1246</v>
      </c>
      <c r="F425" s="69">
        <f>0.12*17</f>
        <v>2.04</v>
      </c>
      <c r="G425" s="62"/>
      <c r="H425" s="124"/>
      <c r="I425" s="6"/>
      <c r="Q425"/>
      <c r="U425" s="6"/>
    </row>
    <row r="426" spans="1:21" s="111" customFormat="1">
      <c r="A426" s="179"/>
      <c r="B426" s="256"/>
      <c r="C426" s="66"/>
      <c r="D426" s="67"/>
      <c r="E426" s="65"/>
      <c r="F426" s="46">
        <f>SUM(F420:F425)</f>
        <v>103.145</v>
      </c>
      <c r="G426" s="62"/>
      <c r="H426" s="124"/>
      <c r="I426" s="6"/>
      <c r="Q426"/>
      <c r="U426" s="6"/>
    </row>
    <row r="427" spans="1:21" s="111" customFormat="1" ht="25.5">
      <c r="A427" s="179"/>
      <c r="B427" s="256"/>
      <c r="C427" s="66"/>
      <c r="D427" s="67" t="s">
        <v>332</v>
      </c>
      <c r="E427" s="71" t="s">
        <v>333</v>
      </c>
      <c r="F427" s="61"/>
      <c r="G427" s="62" t="s">
        <v>21</v>
      </c>
      <c r="H427" s="124">
        <v>241.07</v>
      </c>
      <c r="I427" s="6"/>
      <c r="Q427"/>
      <c r="U427" s="6"/>
    </row>
    <row r="428" spans="1:21" s="111" customFormat="1">
      <c r="A428" s="179"/>
      <c r="B428" s="256"/>
      <c r="C428" s="66"/>
      <c r="D428" s="67"/>
      <c r="E428" s="65" t="s">
        <v>1247</v>
      </c>
      <c r="F428" s="46">
        <f>0.5*55</f>
        <v>27.5</v>
      </c>
      <c r="G428" s="62"/>
      <c r="H428" s="124"/>
      <c r="I428" s="6"/>
      <c r="Q428"/>
      <c r="U428" s="6"/>
    </row>
    <row r="429" spans="1:21" s="111" customFormat="1" ht="25.5">
      <c r="A429" s="179"/>
      <c r="B429" s="256"/>
      <c r="C429" s="66"/>
      <c r="D429" s="67"/>
      <c r="E429" s="65" t="s">
        <v>1248</v>
      </c>
      <c r="F429" s="46">
        <f>24*4/2</f>
        <v>48</v>
      </c>
      <c r="G429" s="62"/>
      <c r="H429" s="124"/>
      <c r="I429" s="6"/>
      <c r="Q429"/>
      <c r="U429" s="6"/>
    </row>
    <row r="430" spans="1:21" s="111" customFormat="1" ht="25.5">
      <c r="A430" s="179"/>
      <c r="B430" s="256"/>
      <c r="C430" s="66"/>
      <c r="D430" s="67"/>
      <c r="E430" s="65" t="s">
        <v>1249</v>
      </c>
      <c r="F430" s="46">
        <f>52*2*(2/3)</f>
        <v>69.333333333333329</v>
      </c>
      <c r="G430" s="62"/>
      <c r="H430" s="124"/>
      <c r="I430" s="6"/>
      <c r="Q430"/>
      <c r="U430" s="6"/>
    </row>
    <row r="431" spans="1:21" s="111" customFormat="1" ht="25.5">
      <c r="A431" s="179"/>
      <c r="B431" s="256"/>
      <c r="C431" s="66"/>
      <c r="D431" s="67"/>
      <c r="E431" s="65" t="s">
        <v>1250</v>
      </c>
      <c r="F431" s="46">
        <v>17</v>
      </c>
      <c r="G431" s="62"/>
      <c r="H431" s="124"/>
      <c r="I431" s="6"/>
      <c r="Q431"/>
      <c r="U431" s="6"/>
    </row>
    <row r="432" spans="1:21" s="111" customFormat="1" ht="38.25">
      <c r="A432" s="179"/>
      <c r="B432" s="256"/>
      <c r="C432" s="66"/>
      <c r="D432" s="67"/>
      <c r="E432" s="65" t="s">
        <v>1251</v>
      </c>
      <c r="F432" s="46">
        <f>0.12*80</f>
        <v>9.6</v>
      </c>
      <c r="G432" s="62"/>
      <c r="H432" s="124"/>
      <c r="I432" s="6"/>
      <c r="Q432"/>
      <c r="U432" s="6"/>
    </row>
    <row r="433" spans="1:21" s="111" customFormat="1" ht="25.5">
      <c r="A433" s="179"/>
      <c r="B433" s="256"/>
      <c r="C433" s="66"/>
      <c r="D433" s="67"/>
      <c r="E433" s="65" t="s">
        <v>1252</v>
      </c>
      <c r="F433" s="46">
        <f>7*1.15</f>
        <v>8.0499999999999989</v>
      </c>
      <c r="G433" s="62"/>
      <c r="H433" s="124"/>
      <c r="I433" s="6"/>
      <c r="Q433"/>
      <c r="U433" s="6"/>
    </row>
    <row r="434" spans="1:21" s="111" customFormat="1" ht="25.5">
      <c r="A434" s="179"/>
      <c r="B434" s="256"/>
      <c r="C434" s="66"/>
      <c r="D434" s="67"/>
      <c r="E434" s="65" t="s">
        <v>1253</v>
      </c>
      <c r="F434" s="46">
        <f>7*1.53</f>
        <v>10.71</v>
      </c>
      <c r="G434" s="62"/>
      <c r="H434" s="124"/>
      <c r="I434" s="6"/>
      <c r="Q434"/>
      <c r="U434" s="6"/>
    </row>
    <row r="435" spans="1:21" s="111" customFormat="1" ht="25.5">
      <c r="A435" s="179"/>
      <c r="B435" s="256"/>
      <c r="C435" s="66"/>
      <c r="D435" s="67"/>
      <c r="E435" s="65" t="s">
        <v>1254</v>
      </c>
      <c r="F435" s="46">
        <f>14*1.53</f>
        <v>21.42</v>
      </c>
      <c r="G435" s="62"/>
      <c r="H435" s="124"/>
      <c r="I435" s="6"/>
      <c r="Q435"/>
      <c r="U435" s="6"/>
    </row>
    <row r="436" spans="1:21" s="111" customFormat="1" ht="25.5">
      <c r="A436" s="179"/>
      <c r="B436" s="256"/>
      <c r="C436" s="66"/>
      <c r="D436" s="67"/>
      <c r="E436" s="65" t="s">
        <v>1255</v>
      </c>
      <c r="F436" s="46">
        <f>1*0.46</f>
        <v>0.46</v>
      </c>
      <c r="G436" s="62"/>
      <c r="H436" s="124"/>
      <c r="I436" s="6"/>
      <c r="Q436"/>
      <c r="U436" s="6"/>
    </row>
    <row r="437" spans="1:21" s="111" customFormat="1" ht="25.5">
      <c r="A437" s="179"/>
      <c r="B437" s="256"/>
      <c r="C437" s="66"/>
      <c r="D437" s="67"/>
      <c r="E437" s="65" t="s">
        <v>1256</v>
      </c>
      <c r="F437" s="46">
        <f>13*1.1</f>
        <v>14.3</v>
      </c>
      <c r="G437" s="62"/>
      <c r="H437" s="124"/>
      <c r="I437" s="6"/>
      <c r="Q437"/>
      <c r="U437" s="6"/>
    </row>
    <row r="438" spans="1:21" s="111" customFormat="1" ht="38.25">
      <c r="A438" s="179"/>
      <c r="B438" s="256"/>
      <c r="C438" s="66"/>
      <c r="D438" s="67"/>
      <c r="E438" s="65" t="s">
        <v>1257</v>
      </c>
      <c r="F438" s="69">
        <f>3*4.9</f>
        <v>14.700000000000001</v>
      </c>
      <c r="G438" s="62"/>
      <c r="H438" s="124"/>
      <c r="I438" s="6"/>
      <c r="Q438"/>
      <c r="U438" s="6"/>
    </row>
    <row r="439" spans="1:21" s="111" customFormat="1">
      <c r="A439" s="179"/>
      <c r="B439" s="256"/>
      <c r="C439" s="66"/>
      <c r="D439" s="67"/>
      <c r="E439" s="65"/>
      <c r="F439" s="46">
        <f>SUM(F428:F438)</f>
        <v>241.07333333333335</v>
      </c>
      <c r="G439" s="62"/>
      <c r="H439" s="124"/>
      <c r="I439" s="6"/>
      <c r="Q439"/>
      <c r="U439" s="6"/>
    </row>
    <row r="440" spans="1:21" s="111" customFormat="1">
      <c r="A440" s="55"/>
      <c r="B440" s="45"/>
      <c r="C440" s="82"/>
      <c r="D440" s="85"/>
      <c r="E440" s="84" t="s">
        <v>999</v>
      </c>
      <c r="F440" s="102"/>
      <c r="G440" s="88"/>
      <c r="H440" s="59"/>
      <c r="I440" s="6"/>
      <c r="Q440"/>
      <c r="U440" s="6"/>
    </row>
    <row r="441" spans="1:21" s="111" customFormat="1">
      <c r="A441" s="55"/>
      <c r="B441" s="45"/>
      <c r="C441" s="82"/>
      <c r="D441" s="85"/>
      <c r="E441" s="65" t="s">
        <v>1000</v>
      </c>
      <c r="F441" s="102"/>
      <c r="G441" s="88"/>
      <c r="H441" s="59"/>
      <c r="I441" s="6"/>
      <c r="Q441"/>
      <c r="U441" s="6"/>
    </row>
    <row r="442" spans="1:21" s="111" customFormat="1" ht="63.75">
      <c r="A442" s="55"/>
      <c r="B442" s="45"/>
      <c r="C442" s="82"/>
      <c r="D442" s="85"/>
      <c r="E442" s="65" t="s">
        <v>1001</v>
      </c>
      <c r="F442" s="102"/>
      <c r="G442" s="88"/>
      <c r="H442" s="59"/>
      <c r="I442" s="6"/>
      <c r="Q442"/>
      <c r="U442" s="6"/>
    </row>
    <row r="443" spans="1:21" s="111" customFormat="1" ht="38.25">
      <c r="A443" s="55"/>
      <c r="B443" s="45"/>
      <c r="C443" s="82"/>
      <c r="D443" s="85"/>
      <c r="E443" s="65" t="s">
        <v>1002</v>
      </c>
      <c r="F443" s="102"/>
      <c r="G443" s="88"/>
      <c r="H443" s="59"/>
      <c r="I443" s="6"/>
      <c r="Q443"/>
      <c r="U443" s="6"/>
    </row>
    <row r="444" spans="1:21" s="111" customFormat="1" ht="25.5">
      <c r="A444" s="55"/>
      <c r="B444" s="45"/>
      <c r="C444" s="82"/>
      <c r="D444" s="85"/>
      <c r="E444" s="65" t="s">
        <v>1003</v>
      </c>
      <c r="F444" s="102"/>
      <c r="G444" s="88"/>
      <c r="H444" s="59"/>
      <c r="I444" s="6"/>
      <c r="Q444"/>
      <c r="U444" s="6"/>
    </row>
    <row r="445" spans="1:21" s="111" customFormat="1">
      <c r="A445" s="55"/>
      <c r="B445" s="45"/>
      <c r="C445" s="82"/>
      <c r="D445" s="85"/>
      <c r="E445" s="86"/>
      <c r="F445" s="102"/>
      <c r="G445" s="88"/>
      <c r="H445" s="59"/>
      <c r="I445" s="6"/>
      <c r="Q445"/>
      <c r="U445" s="6"/>
    </row>
    <row r="446" spans="1:21" s="111" customFormat="1">
      <c r="A446" s="72"/>
      <c r="B446" s="73"/>
      <c r="C446" s="66"/>
      <c r="D446" s="67"/>
      <c r="E446" s="65"/>
      <c r="F446" s="46"/>
      <c r="G446" s="62"/>
      <c r="H446" s="42"/>
      <c r="I446" s="6"/>
      <c r="Q446"/>
      <c r="U446" s="6"/>
    </row>
    <row r="447" spans="1:21" s="98" customFormat="1" ht="25.5">
      <c r="A447" s="34"/>
      <c r="B447" s="35" t="s">
        <v>261</v>
      </c>
      <c r="C447" s="35"/>
      <c r="D447" s="94"/>
      <c r="E447" s="50" t="s">
        <v>262</v>
      </c>
      <c r="F447" s="100"/>
      <c r="G447" s="97"/>
      <c r="H447" s="42"/>
      <c r="I447" s="208"/>
      <c r="J447"/>
      <c r="K447"/>
      <c r="L447"/>
      <c r="Q447"/>
      <c r="U447" s="222"/>
    </row>
    <row r="448" spans="1:21" s="98" customFormat="1">
      <c r="A448" s="145"/>
      <c r="B448" s="35"/>
      <c r="C448" s="35"/>
      <c r="D448" s="94"/>
      <c r="E448" s="50"/>
      <c r="F448" s="100"/>
      <c r="G448" s="97"/>
      <c r="H448" s="42"/>
      <c r="I448" s="208"/>
      <c r="J448"/>
      <c r="K448"/>
      <c r="L448"/>
      <c r="Q448"/>
      <c r="U448" s="222"/>
    </row>
    <row r="449" spans="1:21" s="98" customFormat="1" ht="25.5">
      <c r="A449" s="34">
        <f>MAX(A$1:A447)+1</f>
        <v>54</v>
      </c>
      <c r="B449" s="35"/>
      <c r="C449" s="36" t="s">
        <v>430</v>
      </c>
      <c r="D449" s="37"/>
      <c r="E449" s="38" t="s">
        <v>431</v>
      </c>
      <c r="F449" s="39"/>
      <c r="G449" s="40" t="s">
        <v>18</v>
      </c>
      <c r="H449" s="128">
        <v>31.5</v>
      </c>
      <c r="I449" s="208"/>
      <c r="J449"/>
      <c r="K449"/>
      <c r="L449"/>
      <c r="Q449"/>
      <c r="U449" s="222"/>
    </row>
    <row r="450" spans="1:21" s="98" customFormat="1" ht="38.25">
      <c r="A450" s="145"/>
      <c r="B450" s="35"/>
      <c r="C450" s="35"/>
      <c r="D450" s="67" t="s">
        <v>1077</v>
      </c>
      <c r="E450" s="71" t="s">
        <v>1258</v>
      </c>
      <c r="F450" s="61"/>
      <c r="G450" s="62" t="s">
        <v>18</v>
      </c>
      <c r="H450" s="124">
        <v>31.5</v>
      </c>
      <c r="I450" s="208"/>
      <c r="J450"/>
      <c r="K450"/>
      <c r="L450"/>
      <c r="Q450"/>
      <c r="U450" s="222"/>
    </row>
    <row r="451" spans="1:21" s="98" customFormat="1">
      <c r="A451" s="145"/>
      <c r="B451" s="35"/>
      <c r="C451" s="35"/>
      <c r="D451" s="94"/>
      <c r="E451" s="65" t="s">
        <v>1259</v>
      </c>
      <c r="F451" s="212">
        <f>0.15*210</f>
        <v>31.5</v>
      </c>
      <c r="G451" s="97"/>
      <c r="H451" s="42"/>
      <c r="I451" s="208"/>
      <c r="J451"/>
      <c r="K451"/>
      <c r="L451"/>
      <c r="Q451"/>
      <c r="U451" s="222"/>
    </row>
    <row r="452" spans="1:21" s="98" customFormat="1">
      <c r="A452" s="145"/>
      <c r="B452" s="35"/>
      <c r="C452" s="35"/>
      <c r="D452" s="94"/>
      <c r="E452" s="65"/>
      <c r="F452" s="212"/>
      <c r="G452" s="97"/>
      <c r="H452" s="42"/>
      <c r="I452" s="208"/>
      <c r="J452"/>
      <c r="K452"/>
      <c r="L452"/>
      <c r="Q452"/>
      <c r="U452" s="222"/>
    </row>
    <row r="453" spans="1:21" s="98" customFormat="1" ht="25.5">
      <c r="A453" s="34">
        <f>MAX(A$1:A452)+1</f>
        <v>55</v>
      </c>
      <c r="B453" s="35"/>
      <c r="C453" s="36" t="s">
        <v>604</v>
      </c>
      <c r="D453" s="37"/>
      <c r="E453" s="38" t="s">
        <v>605</v>
      </c>
      <c r="F453" s="39"/>
      <c r="G453" s="40" t="s">
        <v>18</v>
      </c>
      <c r="H453" s="52">
        <v>53.75</v>
      </c>
      <c r="I453" s="208"/>
      <c r="J453"/>
      <c r="K453"/>
      <c r="L453"/>
      <c r="Q453"/>
      <c r="U453" s="222"/>
    </row>
    <row r="454" spans="1:21" s="98" customFormat="1" ht="38.25">
      <c r="A454" s="145"/>
      <c r="B454" s="35"/>
      <c r="C454" s="36"/>
      <c r="D454" s="67" t="s">
        <v>641</v>
      </c>
      <c r="E454" s="71" t="s">
        <v>642</v>
      </c>
      <c r="F454" s="61"/>
      <c r="G454" s="62" t="s">
        <v>18</v>
      </c>
      <c r="H454" s="99">
        <v>53.75</v>
      </c>
      <c r="I454" s="208"/>
      <c r="J454"/>
      <c r="K454"/>
      <c r="L454"/>
      <c r="Q454"/>
      <c r="U454" s="222"/>
    </row>
    <row r="455" spans="1:21" s="98" customFormat="1" ht="76.5">
      <c r="A455" s="145"/>
      <c r="B455" s="35"/>
      <c r="C455" s="35"/>
      <c r="D455" s="94"/>
      <c r="E455" s="65" t="s">
        <v>1260</v>
      </c>
      <c r="F455" s="212">
        <f>0.25*215</f>
        <v>53.75</v>
      </c>
      <c r="G455" s="97"/>
      <c r="H455" s="42"/>
      <c r="I455" s="208"/>
      <c r="J455"/>
      <c r="K455"/>
      <c r="L455"/>
      <c r="Q455"/>
      <c r="U455" s="222"/>
    </row>
    <row r="456" spans="1:21" s="98" customFormat="1">
      <c r="A456" s="145"/>
      <c r="B456" s="35"/>
      <c r="C456" s="35"/>
      <c r="D456" s="94"/>
      <c r="E456" s="50"/>
      <c r="F456" s="100"/>
      <c r="G456" s="97"/>
      <c r="H456" s="42"/>
      <c r="I456" s="208"/>
      <c r="J456"/>
      <c r="K456"/>
      <c r="L456"/>
      <c r="Q456"/>
      <c r="U456" s="222"/>
    </row>
    <row r="457" spans="1:21" s="98" customFormat="1">
      <c r="A457" s="145"/>
      <c r="B457" s="35"/>
      <c r="C457" s="35"/>
      <c r="D457" s="94"/>
      <c r="E457" s="84" t="s">
        <v>1006</v>
      </c>
      <c r="F457" s="100"/>
      <c r="G457" s="97"/>
      <c r="H457" s="42"/>
      <c r="I457" s="208"/>
      <c r="J457"/>
      <c r="K457"/>
      <c r="L457"/>
      <c r="Q457"/>
      <c r="U457" s="222"/>
    </row>
    <row r="458" spans="1:21" s="98" customFormat="1" ht="26.25">
      <c r="A458" s="145"/>
      <c r="B458" s="35"/>
      <c r="C458" s="35"/>
      <c r="D458" s="94"/>
      <c r="E458" s="68" t="s">
        <v>1261</v>
      </c>
      <c r="F458" s="100"/>
      <c r="G458" s="97"/>
      <c r="H458" s="42"/>
      <c r="I458" s="208"/>
      <c r="J458"/>
      <c r="K458"/>
      <c r="L458"/>
      <c r="Q458"/>
      <c r="U458" s="222"/>
    </row>
    <row r="459" spans="1:21" s="98" customFormat="1" ht="26.25">
      <c r="A459" s="145"/>
      <c r="B459" s="35"/>
      <c r="C459" s="35"/>
      <c r="D459" s="94"/>
      <c r="E459" s="68" t="s">
        <v>1262</v>
      </c>
      <c r="F459" s="100"/>
      <c r="G459" s="97"/>
      <c r="H459" s="42"/>
      <c r="I459" s="208"/>
      <c r="J459"/>
      <c r="K459"/>
      <c r="L459"/>
      <c r="Q459"/>
      <c r="U459" s="222"/>
    </row>
    <row r="460" spans="1:21" s="98" customFormat="1" ht="26.25">
      <c r="A460" s="145"/>
      <c r="B460" s="35"/>
      <c r="C460" s="35"/>
      <c r="D460" s="94"/>
      <c r="E460" s="68" t="s">
        <v>1263</v>
      </c>
      <c r="F460" s="100"/>
      <c r="G460" s="97"/>
      <c r="H460" s="42"/>
      <c r="I460" s="208"/>
      <c r="J460"/>
      <c r="K460"/>
      <c r="L460"/>
      <c r="Q460"/>
      <c r="U460" s="222"/>
    </row>
    <row r="461" spans="1:21" s="98" customFormat="1">
      <c r="A461" s="145"/>
      <c r="B461" s="35"/>
      <c r="C461" s="35"/>
      <c r="D461" s="94"/>
      <c r="E461" s="68" t="s">
        <v>1264</v>
      </c>
      <c r="F461" s="100"/>
      <c r="G461" s="97"/>
      <c r="H461" s="42"/>
      <c r="I461" s="208"/>
      <c r="J461"/>
      <c r="K461"/>
      <c r="L461"/>
      <c r="Q461"/>
      <c r="U461" s="222"/>
    </row>
    <row r="462" spans="1:21" s="98" customFormat="1">
      <c r="A462" s="145"/>
      <c r="B462" s="35"/>
      <c r="C462" s="35"/>
      <c r="D462" s="94"/>
      <c r="E462" s="68" t="s">
        <v>1265</v>
      </c>
      <c r="F462" s="100"/>
      <c r="G462" s="97"/>
      <c r="H462" s="42"/>
      <c r="I462" s="208"/>
      <c r="J462"/>
      <c r="K462"/>
      <c r="L462"/>
      <c r="Q462"/>
      <c r="U462" s="222"/>
    </row>
    <row r="463" spans="1:21" s="98" customFormat="1" ht="26.25">
      <c r="A463" s="145"/>
      <c r="B463" s="35"/>
      <c r="C463" s="35"/>
      <c r="D463" s="94"/>
      <c r="E463" s="68" t="s">
        <v>1266</v>
      </c>
      <c r="F463" s="100"/>
      <c r="G463" s="97"/>
      <c r="H463" s="42"/>
      <c r="I463" s="208"/>
      <c r="J463"/>
      <c r="K463"/>
      <c r="L463"/>
      <c r="Q463"/>
      <c r="U463" s="222"/>
    </row>
    <row r="464" spans="1:21" s="98" customFormat="1">
      <c r="A464" s="145"/>
      <c r="B464" s="35"/>
      <c r="C464" s="35"/>
      <c r="D464" s="94"/>
      <c r="E464" s="68" t="s">
        <v>1267</v>
      </c>
      <c r="F464" s="100"/>
      <c r="G464" s="97"/>
      <c r="H464" s="42"/>
      <c r="I464" s="208"/>
      <c r="J464"/>
      <c r="K464"/>
      <c r="L464"/>
      <c r="Q464"/>
      <c r="U464" s="222"/>
    </row>
    <row r="465" spans="1:21" s="98" customFormat="1">
      <c r="A465" s="145"/>
      <c r="B465" s="35"/>
      <c r="C465" s="35"/>
      <c r="D465" s="94"/>
      <c r="E465" s="68" t="s">
        <v>1268</v>
      </c>
      <c r="F465" s="100"/>
      <c r="G465" s="97"/>
      <c r="H465" s="42"/>
      <c r="I465" s="208"/>
      <c r="J465"/>
      <c r="K465"/>
      <c r="L465"/>
      <c r="Q465"/>
      <c r="U465" s="222"/>
    </row>
    <row r="466" spans="1:21" s="98" customFormat="1" ht="26.25">
      <c r="A466" s="145"/>
      <c r="B466" s="35"/>
      <c r="C466" s="35"/>
      <c r="D466" s="94"/>
      <c r="E466" s="68" t="s">
        <v>1269</v>
      </c>
      <c r="F466" s="100"/>
      <c r="G466" s="97"/>
      <c r="H466" s="42"/>
      <c r="I466" s="208"/>
      <c r="J466"/>
      <c r="K466"/>
      <c r="L466"/>
      <c r="Q466"/>
      <c r="U466" s="222"/>
    </row>
    <row r="467" spans="1:21" s="98" customFormat="1" ht="26.25">
      <c r="A467" s="145"/>
      <c r="B467" s="35"/>
      <c r="C467" s="35"/>
      <c r="D467" s="94"/>
      <c r="E467" s="68" t="s">
        <v>1270</v>
      </c>
      <c r="F467" s="100"/>
      <c r="G467" s="97"/>
      <c r="H467" s="42"/>
      <c r="I467" s="208"/>
      <c r="J467"/>
      <c r="K467"/>
      <c r="L467"/>
      <c r="Q467"/>
      <c r="U467" s="222"/>
    </row>
    <row r="468" spans="1:21" s="98" customFormat="1">
      <c r="A468" s="145"/>
      <c r="B468" s="35"/>
      <c r="C468" s="35"/>
      <c r="D468" s="94"/>
      <c r="E468" s="68" t="s">
        <v>1271</v>
      </c>
      <c r="F468" s="100"/>
      <c r="G468" s="97"/>
      <c r="H468" s="42"/>
      <c r="I468" s="208"/>
      <c r="J468"/>
      <c r="K468"/>
      <c r="L468"/>
      <c r="Q468"/>
      <c r="U468" s="222"/>
    </row>
    <row r="469" spans="1:21" s="98" customFormat="1">
      <c r="A469" s="145"/>
      <c r="B469" s="35"/>
      <c r="C469" s="35"/>
      <c r="D469" s="94"/>
      <c r="E469" s="68" t="s">
        <v>1272</v>
      </c>
      <c r="F469" s="100"/>
      <c r="G469" s="97"/>
      <c r="H469" s="42"/>
      <c r="I469" s="208"/>
      <c r="J469"/>
      <c r="K469"/>
      <c r="L469"/>
      <c r="Q469"/>
      <c r="U469" s="222"/>
    </row>
    <row r="470" spans="1:21" s="98" customFormat="1">
      <c r="A470" s="145"/>
      <c r="B470" s="35"/>
      <c r="C470" s="35"/>
      <c r="D470" s="94"/>
      <c r="E470" s="68" t="s">
        <v>1273</v>
      </c>
      <c r="F470" s="100"/>
      <c r="G470" s="97"/>
      <c r="H470" s="42"/>
      <c r="I470" s="208"/>
      <c r="J470"/>
      <c r="K470"/>
      <c r="L470"/>
      <c r="Q470"/>
      <c r="U470" s="222"/>
    </row>
    <row r="471" spans="1:21" s="98" customFormat="1" ht="26.25">
      <c r="A471" s="145"/>
      <c r="B471" s="35"/>
      <c r="C471" s="35"/>
      <c r="D471" s="94"/>
      <c r="E471" s="68" t="s">
        <v>1274</v>
      </c>
      <c r="F471" s="100"/>
      <c r="G471" s="97"/>
      <c r="H471" s="42"/>
      <c r="I471" s="208"/>
      <c r="J471"/>
      <c r="K471"/>
      <c r="L471"/>
      <c r="Q471"/>
      <c r="U471" s="222"/>
    </row>
    <row r="472" spans="1:21" s="98" customFormat="1">
      <c r="A472" s="145"/>
      <c r="B472" s="35"/>
      <c r="C472" s="35"/>
      <c r="D472" s="94"/>
      <c r="E472" s="68" t="s">
        <v>1275</v>
      </c>
      <c r="F472" s="100"/>
      <c r="G472" s="97"/>
      <c r="H472" s="42"/>
      <c r="I472" s="208"/>
      <c r="J472"/>
      <c r="K472"/>
      <c r="L472"/>
      <c r="Q472"/>
      <c r="U472" s="222"/>
    </row>
    <row r="473" spans="1:21" s="98" customFormat="1">
      <c r="A473" s="145"/>
      <c r="B473" s="35"/>
      <c r="C473" s="35"/>
      <c r="D473" s="94"/>
      <c r="E473" s="68" t="s">
        <v>1276</v>
      </c>
      <c r="F473" s="100"/>
      <c r="G473" s="97"/>
      <c r="H473" s="42"/>
      <c r="I473" s="208"/>
      <c r="J473"/>
      <c r="K473"/>
      <c r="L473"/>
      <c r="Q473"/>
      <c r="U473" s="222"/>
    </row>
    <row r="474" spans="1:21" s="98" customFormat="1">
      <c r="A474" s="145"/>
      <c r="B474" s="35"/>
      <c r="C474" s="35"/>
      <c r="D474" s="94"/>
      <c r="E474" s="65"/>
      <c r="F474" s="212"/>
      <c r="G474" s="97"/>
      <c r="H474" s="42"/>
      <c r="I474" s="208"/>
      <c r="J474"/>
      <c r="K474"/>
      <c r="L474"/>
      <c r="Q474"/>
      <c r="U474" s="222"/>
    </row>
    <row r="475" spans="1:21" s="98" customFormat="1" ht="25.5">
      <c r="A475" s="34">
        <f>MAX(A$1:A474)+1</f>
        <v>56</v>
      </c>
      <c r="B475" s="35"/>
      <c r="C475" s="36" t="s">
        <v>296</v>
      </c>
      <c r="D475" s="37"/>
      <c r="E475" s="38" t="s">
        <v>297</v>
      </c>
      <c r="F475" s="39"/>
      <c r="G475" s="40" t="s">
        <v>21</v>
      </c>
      <c r="H475" s="128">
        <v>5609</v>
      </c>
      <c r="I475" s="208"/>
      <c r="J475"/>
      <c r="K475"/>
      <c r="L475"/>
      <c r="Q475"/>
      <c r="U475" s="222"/>
    </row>
    <row r="476" spans="1:21" s="98" customFormat="1" ht="38.25">
      <c r="A476" s="145"/>
      <c r="B476" s="35"/>
      <c r="C476" s="66"/>
      <c r="D476" s="67" t="s">
        <v>1026</v>
      </c>
      <c r="E476" s="71" t="s">
        <v>1027</v>
      </c>
      <c r="F476" s="61"/>
      <c r="G476" s="62" t="s">
        <v>21</v>
      </c>
      <c r="H476" s="124">
        <v>5609</v>
      </c>
      <c r="I476" s="208"/>
      <c r="J476"/>
      <c r="K476"/>
      <c r="L476"/>
      <c r="Q476"/>
      <c r="U476" s="222"/>
    </row>
    <row r="477" spans="1:21" s="98" customFormat="1">
      <c r="A477" s="145"/>
      <c r="B477" s="35"/>
      <c r="C477" s="66"/>
      <c r="D477" s="67"/>
      <c r="E477" s="65" t="s">
        <v>1028</v>
      </c>
      <c r="F477" s="90">
        <v>5402</v>
      </c>
      <c r="G477" s="62"/>
      <c r="H477" s="42"/>
      <c r="I477" s="208"/>
      <c r="J477"/>
      <c r="K477"/>
      <c r="L477"/>
      <c r="Q477"/>
      <c r="U477" s="222"/>
    </row>
    <row r="478" spans="1:21" s="98" customFormat="1">
      <c r="A478" s="145"/>
      <c r="B478" s="35"/>
      <c r="C478" s="66"/>
      <c r="D478" s="67"/>
      <c r="E478" s="65" t="s">
        <v>1277</v>
      </c>
      <c r="F478" s="138">
        <v>207</v>
      </c>
      <c r="G478" s="62"/>
      <c r="H478" s="42"/>
      <c r="I478" s="208"/>
      <c r="J478"/>
      <c r="K478"/>
      <c r="L478"/>
      <c r="Q478"/>
      <c r="U478" s="222"/>
    </row>
    <row r="479" spans="1:21" s="98" customFormat="1">
      <c r="A479" s="145"/>
      <c r="B479" s="35"/>
      <c r="C479" s="66"/>
      <c r="D479" s="67"/>
      <c r="E479" s="65"/>
      <c r="F479" s="90">
        <f>SUM(F477:F478)</f>
        <v>5609</v>
      </c>
      <c r="G479" s="62"/>
      <c r="H479" s="42"/>
      <c r="I479" s="208"/>
      <c r="J479"/>
      <c r="K479"/>
      <c r="L479"/>
      <c r="Q479"/>
      <c r="U479" s="222"/>
    </row>
    <row r="480" spans="1:21" s="98" customFormat="1">
      <c r="A480" s="145"/>
      <c r="B480" s="35"/>
      <c r="C480" s="66"/>
      <c r="D480" s="67"/>
      <c r="E480" s="71"/>
      <c r="F480" s="61"/>
      <c r="G480" s="62"/>
      <c r="H480" s="42"/>
      <c r="I480" s="208"/>
      <c r="J480"/>
      <c r="K480"/>
      <c r="L480"/>
      <c r="Q480"/>
      <c r="U480" s="222"/>
    </row>
    <row r="481" spans="1:21" s="98" customFormat="1" ht="25.5">
      <c r="A481" s="34">
        <f>MAX(A$1:A480)+1</f>
        <v>57</v>
      </c>
      <c r="B481" s="35"/>
      <c r="C481" s="36" t="s">
        <v>298</v>
      </c>
      <c r="D481" s="37"/>
      <c r="E481" s="38" t="s">
        <v>299</v>
      </c>
      <c r="F481" s="39"/>
      <c r="G481" s="40" t="s">
        <v>18</v>
      </c>
      <c r="H481" s="128">
        <v>126.55000000000001</v>
      </c>
      <c r="I481" s="695"/>
      <c r="J481"/>
      <c r="K481"/>
      <c r="L481"/>
      <c r="Q481"/>
      <c r="U481" s="222"/>
    </row>
    <row r="482" spans="1:21" s="98" customFormat="1" ht="25.5">
      <c r="A482" s="145"/>
      <c r="B482" s="35"/>
      <c r="C482" s="36"/>
      <c r="D482" s="67" t="s">
        <v>367</v>
      </c>
      <c r="E482" s="71" t="s">
        <v>368</v>
      </c>
      <c r="F482" s="61"/>
      <c r="G482" s="62" t="s">
        <v>18</v>
      </c>
      <c r="H482" s="124">
        <v>91.15000000000002</v>
      </c>
      <c r="I482" s="208"/>
      <c r="J482"/>
      <c r="K482"/>
      <c r="L482"/>
      <c r="Q482"/>
      <c r="U482" s="222"/>
    </row>
    <row r="483" spans="1:21" s="98" customFormat="1" ht="25.5">
      <c r="A483" s="145"/>
      <c r="B483" s="35"/>
      <c r="C483" s="36"/>
      <c r="D483" s="37"/>
      <c r="E483" s="65" t="s">
        <v>1278</v>
      </c>
      <c r="F483" s="46">
        <f>0.04*1840</f>
        <v>73.600000000000009</v>
      </c>
      <c r="G483" s="40"/>
      <c r="H483" s="128"/>
      <c r="I483" s="208"/>
      <c r="J483"/>
      <c r="K483"/>
      <c r="L483"/>
      <c r="Q483"/>
      <c r="U483" s="222"/>
    </row>
    <row r="484" spans="1:21" s="98" customFormat="1" ht="25.5">
      <c r="A484" s="145"/>
      <c r="B484" s="35"/>
      <c r="C484" s="36"/>
      <c r="D484" s="37"/>
      <c r="E484" s="65" t="s">
        <v>1279</v>
      </c>
      <c r="F484" s="46">
        <f>0.05*207</f>
        <v>10.350000000000001</v>
      </c>
      <c r="G484" s="40"/>
      <c r="H484" s="128"/>
      <c r="I484" s="208"/>
      <c r="J484"/>
      <c r="K484"/>
      <c r="L484"/>
      <c r="Q484"/>
      <c r="U484" s="222"/>
    </row>
    <row r="485" spans="1:21" s="98" customFormat="1" ht="26.25">
      <c r="A485" s="145"/>
      <c r="B485" s="35"/>
      <c r="C485" s="36"/>
      <c r="D485" s="37"/>
      <c r="E485" s="68" t="s">
        <v>1280</v>
      </c>
      <c r="F485" s="69">
        <f>0.06*120</f>
        <v>7.1999999999999993</v>
      </c>
      <c r="G485" s="40"/>
      <c r="H485" s="128"/>
      <c r="I485" s="208"/>
      <c r="J485"/>
      <c r="K485"/>
      <c r="L485"/>
      <c r="Q485"/>
      <c r="U485" s="222"/>
    </row>
    <row r="486" spans="1:21" s="98" customFormat="1">
      <c r="A486" s="145"/>
      <c r="B486" s="35"/>
      <c r="C486" s="36"/>
      <c r="D486" s="37"/>
      <c r="E486" s="65"/>
      <c r="F486" s="46">
        <f>SUM(F483:F485)</f>
        <v>91.15000000000002</v>
      </c>
      <c r="G486" s="40"/>
      <c r="H486" s="128"/>
      <c r="I486" s="208"/>
      <c r="J486"/>
      <c r="K486"/>
      <c r="L486"/>
      <c r="Q486"/>
      <c r="U486" s="222"/>
    </row>
    <row r="487" spans="1:21" s="98" customFormat="1" ht="25.5">
      <c r="A487" s="145"/>
      <c r="B487" s="35"/>
      <c r="C487" s="66"/>
      <c r="D487" s="67" t="s">
        <v>334</v>
      </c>
      <c r="E487" s="71" t="s">
        <v>335</v>
      </c>
      <c r="F487" s="61"/>
      <c r="G487" s="62" t="s">
        <v>18</v>
      </c>
      <c r="H487" s="124">
        <v>35.4</v>
      </c>
      <c r="I487" s="208"/>
      <c r="J487"/>
      <c r="K487"/>
      <c r="L487"/>
      <c r="Q487"/>
      <c r="U487" s="222"/>
    </row>
    <row r="488" spans="1:21" s="98" customFormat="1" ht="26.25">
      <c r="A488" s="145"/>
      <c r="B488" s="35"/>
      <c r="C488" s="66"/>
      <c r="D488" s="67"/>
      <c r="E488" s="68" t="s">
        <v>1281</v>
      </c>
      <c r="F488" s="46">
        <f>0.06*590</f>
        <v>35.4</v>
      </c>
      <c r="G488" s="62"/>
      <c r="H488" s="42"/>
      <c r="I488" s="208"/>
      <c r="J488"/>
      <c r="K488"/>
      <c r="L488"/>
      <c r="Q488"/>
      <c r="U488" s="222"/>
    </row>
    <row r="489" spans="1:21" s="98" customFormat="1">
      <c r="A489" s="145"/>
      <c r="B489" s="35"/>
      <c r="C489" s="35"/>
      <c r="D489" s="94"/>
      <c r="E489" s="50"/>
      <c r="F489" s="100"/>
      <c r="G489" s="97"/>
      <c r="H489" s="42"/>
      <c r="I489" s="208"/>
      <c r="J489"/>
      <c r="K489"/>
      <c r="L489"/>
      <c r="Q489"/>
      <c r="U489" s="222"/>
    </row>
    <row r="490" spans="1:21" s="98" customFormat="1" ht="25.5">
      <c r="A490" s="34">
        <f>MAX(A$1:A489)+1</f>
        <v>58</v>
      </c>
      <c r="B490" s="35"/>
      <c r="C490" s="36" t="s">
        <v>300</v>
      </c>
      <c r="D490" s="37"/>
      <c r="E490" s="38" t="s">
        <v>301</v>
      </c>
      <c r="F490" s="39"/>
      <c r="G490" s="40" t="s">
        <v>18</v>
      </c>
      <c r="H490" s="64">
        <v>216.08</v>
      </c>
      <c r="I490" s="208"/>
      <c r="J490"/>
      <c r="K490"/>
      <c r="L490"/>
      <c r="Q490"/>
      <c r="U490" s="222"/>
    </row>
    <row r="491" spans="1:21" s="98" customFormat="1" ht="25.5">
      <c r="A491" s="145"/>
      <c r="B491" s="35"/>
      <c r="C491" s="66"/>
      <c r="D491" s="67" t="s">
        <v>302</v>
      </c>
      <c r="E491" s="71" t="s">
        <v>303</v>
      </c>
      <c r="F491" s="61"/>
      <c r="G491" s="62" t="s">
        <v>18</v>
      </c>
      <c r="H491" s="83">
        <v>216.08</v>
      </c>
      <c r="I491" s="208"/>
      <c r="J491"/>
      <c r="K491"/>
      <c r="L491"/>
      <c r="Q491"/>
      <c r="U491" s="222"/>
    </row>
    <row r="492" spans="1:21" s="98" customFormat="1" ht="25.5">
      <c r="A492" s="145"/>
      <c r="B492" s="35"/>
      <c r="C492" s="35"/>
      <c r="D492" s="94"/>
      <c r="E492" s="65" t="s">
        <v>1282</v>
      </c>
      <c r="F492" s="212">
        <f>0.04*5402</f>
        <v>216.08</v>
      </c>
      <c r="G492" s="97"/>
      <c r="H492" s="42"/>
      <c r="I492" s="208"/>
      <c r="J492"/>
      <c r="K492"/>
      <c r="L492"/>
      <c r="Q492"/>
      <c r="U492" s="222"/>
    </row>
    <row r="493" spans="1:21" s="98" customFormat="1">
      <c r="A493" s="145"/>
      <c r="B493" s="35"/>
      <c r="C493" s="35"/>
      <c r="D493" s="94"/>
      <c r="E493" s="65"/>
      <c r="F493" s="212"/>
      <c r="G493" s="97"/>
      <c r="H493" s="42"/>
      <c r="I493" s="208"/>
      <c r="J493"/>
      <c r="K493"/>
      <c r="L493"/>
      <c r="Q493"/>
      <c r="U493" s="222"/>
    </row>
    <row r="494" spans="1:21" s="98" customFormat="1" ht="25.5">
      <c r="A494" s="34">
        <f>MAX(A$1:A493)+1</f>
        <v>59</v>
      </c>
      <c r="B494" s="35"/>
      <c r="C494" s="36" t="s">
        <v>1033</v>
      </c>
      <c r="D494" s="37"/>
      <c r="E494" s="38" t="s">
        <v>1034</v>
      </c>
      <c r="F494" s="39"/>
      <c r="G494" s="40" t="s">
        <v>21</v>
      </c>
      <c r="H494" s="52">
        <v>54.67</v>
      </c>
      <c r="I494" s="695"/>
      <c r="J494"/>
      <c r="K494"/>
      <c r="L494"/>
      <c r="Q494"/>
      <c r="U494" s="222"/>
    </row>
    <row r="495" spans="1:21" s="98" customFormat="1" ht="25.5">
      <c r="A495" s="145"/>
      <c r="B495" s="35"/>
      <c r="C495" s="66"/>
      <c r="D495" s="67" t="s">
        <v>1283</v>
      </c>
      <c r="E495" s="71" t="s">
        <v>1284</v>
      </c>
      <c r="F495" s="61"/>
      <c r="G495" s="62" t="s">
        <v>21</v>
      </c>
      <c r="H495" s="99">
        <v>21.75</v>
      </c>
      <c r="I495" s="208"/>
      <c r="J495" s="208"/>
      <c r="K495"/>
      <c r="L495"/>
      <c r="Q495"/>
      <c r="U495" s="222"/>
    </row>
    <row r="496" spans="1:21" s="98" customFormat="1">
      <c r="A496" s="145"/>
      <c r="B496" s="35"/>
      <c r="C496" s="66"/>
      <c r="D496" s="67"/>
      <c r="E496" s="65" t="s">
        <v>1285</v>
      </c>
      <c r="F496" s="46">
        <f>0.25*87</f>
        <v>21.75</v>
      </c>
      <c r="G496" s="62"/>
      <c r="H496" s="42"/>
      <c r="I496" s="693"/>
      <c r="J496"/>
      <c r="K496"/>
      <c r="L496"/>
      <c r="Q496"/>
      <c r="U496" s="222"/>
    </row>
    <row r="497" spans="1:21" s="98" customFormat="1" ht="25.5">
      <c r="A497" s="145"/>
      <c r="B497" s="35"/>
      <c r="C497" s="66"/>
      <c r="D497" s="67" t="s">
        <v>1035</v>
      </c>
      <c r="E497" s="71" t="s">
        <v>1036</v>
      </c>
      <c r="F497" s="61"/>
      <c r="G497" s="62" t="s">
        <v>21</v>
      </c>
      <c r="H497" s="99">
        <v>32.92</v>
      </c>
      <c r="I497" s="693"/>
      <c r="J497"/>
      <c r="K497"/>
      <c r="L497"/>
      <c r="Q497"/>
      <c r="U497" s="222"/>
    </row>
    <row r="498" spans="1:21" s="98" customFormat="1" ht="25.5">
      <c r="A498" s="145"/>
      <c r="B498" s="35"/>
      <c r="C498" s="66"/>
      <c r="D498" s="67"/>
      <c r="E498" s="65" t="s">
        <v>1286</v>
      </c>
      <c r="F498" s="46">
        <v>20</v>
      </c>
      <c r="G498" s="62"/>
      <c r="H498" s="42"/>
      <c r="I498" s="693"/>
      <c r="J498"/>
      <c r="K498"/>
      <c r="L498"/>
      <c r="Q498"/>
      <c r="U498" s="222"/>
    </row>
    <row r="499" spans="1:21" s="98" customFormat="1" ht="38.25">
      <c r="A499" s="145"/>
      <c r="B499" s="35"/>
      <c r="C499" s="66"/>
      <c r="D499" s="67"/>
      <c r="E499" s="65" t="s">
        <v>1287</v>
      </c>
      <c r="F499" s="46">
        <f>0.28*34</f>
        <v>9.5200000000000014</v>
      </c>
      <c r="G499" s="62"/>
      <c r="H499" s="42"/>
      <c r="I499" s="693"/>
      <c r="J499"/>
      <c r="K499"/>
      <c r="L499"/>
      <c r="Q499"/>
      <c r="U499" s="222"/>
    </row>
    <row r="500" spans="1:21" s="98" customFormat="1" ht="38.25">
      <c r="A500" s="145"/>
      <c r="B500" s="35"/>
      <c r="C500" s="66"/>
      <c r="D500" s="67"/>
      <c r="E500" s="65" t="s">
        <v>1288</v>
      </c>
      <c r="F500" s="46">
        <f>0.23*8</f>
        <v>1.84</v>
      </c>
      <c r="G500" s="62"/>
      <c r="H500" s="42"/>
      <c r="I500" s="693"/>
      <c r="J500"/>
      <c r="K500"/>
      <c r="L500"/>
      <c r="Q500"/>
      <c r="U500" s="222"/>
    </row>
    <row r="501" spans="1:21" s="98" customFormat="1" ht="38.25">
      <c r="A501" s="145"/>
      <c r="B501" s="35"/>
      <c r="C501" s="66"/>
      <c r="D501" s="67"/>
      <c r="E501" s="65" t="s">
        <v>1289</v>
      </c>
      <c r="F501" s="69">
        <f>0.13*12</f>
        <v>1.56</v>
      </c>
      <c r="G501" s="62"/>
      <c r="H501" s="42"/>
      <c r="I501" s="693"/>
      <c r="J501"/>
      <c r="K501"/>
      <c r="L501"/>
      <c r="Q501"/>
      <c r="U501" s="222"/>
    </row>
    <row r="502" spans="1:21" s="98" customFormat="1">
      <c r="A502" s="145"/>
      <c r="B502" s="35"/>
      <c r="C502" s="66"/>
      <c r="D502" s="67"/>
      <c r="E502" s="707"/>
      <c r="F502" s="46">
        <f>SUM(F498:F501)</f>
        <v>32.92</v>
      </c>
      <c r="G502" s="62"/>
      <c r="H502" s="42"/>
      <c r="I502" s="693"/>
      <c r="J502"/>
      <c r="K502"/>
      <c r="L502"/>
      <c r="Q502"/>
      <c r="U502" s="222"/>
    </row>
    <row r="503" spans="1:21" s="98" customFormat="1">
      <c r="A503" s="145"/>
      <c r="B503" s="35"/>
      <c r="C503" s="66"/>
      <c r="D503" s="67"/>
      <c r="E503" s="707"/>
      <c r="F503" s="46"/>
      <c r="G503" s="62"/>
      <c r="H503" s="42"/>
      <c r="I503" s="693"/>
      <c r="J503"/>
      <c r="K503"/>
      <c r="L503"/>
      <c r="Q503"/>
      <c r="U503" s="222"/>
    </row>
    <row r="504" spans="1:21" s="98" customFormat="1" ht="25.5">
      <c r="A504" s="34">
        <f>MAX(A$1:A503)+1</f>
        <v>60</v>
      </c>
      <c r="B504" s="35"/>
      <c r="C504" s="36" t="s">
        <v>773</v>
      </c>
      <c r="D504" s="37"/>
      <c r="E504" s="38" t="s">
        <v>774</v>
      </c>
      <c r="F504" s="39"/>
      <c r="G504" s="40" t="s">
        <v>21</v>
      </c>
      <c r="H504" s="52">
        <v>259.5</v>
      </c>
      <c r="I504" s="221"/>
      <c r="J504"/>
      <c r="K504"/>
      <c r="L504"/>
      <c r="Q504"/>
      <c r="U504" s="222"/>
    </row>
    <row r="505" spans="1:21" s="98" customFormat="1" ht="25.5">
      <c r="A505" s="145"/>
      <c r="B505" s="35"/>
      <c r="C505" s="35"/>
      <c r="D505" s="94"/>
      <c r="E505" s="65" t="s">
        <v>1290</v>
      </c>
      <c r="F505" s="212">
        <f>0.5*344</f>
        <v>172</v>
      </c>
      <c r="G505" s="97"/>
      <c r="H505" s="42"/>
      <c r="I505" s="693"/>
      <c r="J505"/>
      <c r="K505"/>
      <c r="L505"/>
      <c r="Q505"/>
      <c r="U505" s="222"/>
    </row>
    <row r="506" spans="1:21" s="98" customFormat="1" ht="25.5">
      <c r="A506" s="145"/>
      <c r="B506" s="35"/>
      <c r="C506" s="35"/>
      <c r="D506" s="94"/>
      <c r="E506" s="65" t="s">
        <v>1291</v>
      </c>
      <c r="F506" s="213">
        <f>0.5*175</f>
        <v>87.5</v>
      </c>
      <c r="G506" s="97"/>
      <c r="H506" s="42"/>
      <c r="I506" s="693"/>
      <c r="J506"/>
      <c r="K506"/>
      <c r="L506"/>
      <c r="Q506"/>
      <c r="U506" s="222"/>
    </row>
    <row r="507" spans="1:21" s="98" customFormat="1">
      <c r="A507" s="145"/>
      <c r="B507" s="35"/>
      <c r="C507" s="35"/>
      <c r="D507" s="94"/>
      <c r="E507" s="65"/>
      <c r="F507" s="212">
        <f>SUM(F505:F506)</f>
        <v>259.5</v>
      </c>
      <c r="G507" s="97"/>
      <c r="H507" s="42"/>
      <c r="I507" s="208"/>
      <c r="J507"/>
      <c r="K507"/>
      <c r="L507"/>
      <c r="Q507"/>
      <c r="U507" s="222"/>
    </row>
    <row r="508" spans="1:21" s="98" customFormat="1">
      <c r="A508" s="145"/>
      <c r="B508" s="35"/>
      <c r="C508" s="35"/>
      <c r="D508" s="94"/>
      <c r="E508" s="65"/>
      <c r="F508" s="212"/>
      <c r="G508" s="97"/>
      <c r="H508" s="42"/>
      <c r="I508" s="208"/>
      <c r="J508"/>
      <c r="K508"/>
      <c r="L508"/>
      <c r="Q508"/>
      <c r="U508" s="222"/>
    </row>
    <row r="509" spans="1:21" s="98" customFormat="1" ht="25.5">
      <c r="A509" s="34">
        <f>MAX(A$1:A508)+1</f>
        <v>61</v>
      </c>
      <c r="B509" s="35"/>
      <c r="C509" s="36" t="s">
        <v>464</v>
      </c>
      <c r="D509" s="37"/>
      <c r="E509" s="38" t="s">
        <v>465</v>
      </c>
      <c r="F509" s="39"/>
      <c r="G509" s="40" t="s">
        <v>21</v>
      </c>
      <c r="H509" s="128">
        <v>1233</v>
      </c>
      <c r="I509" s="208"/>
      <c r="J509"/>
      <c r="K509"/>
      <c r="L509"/>
      <c r="Q509"/>
      <c r="U509" s="222"/>
    </row>
    <row r="510" spans="1:21" s="98" customFormat="1" ht="25.5">
      <c r="A510" s="145"/>
      <c r="B510" s="35"/>
      <c r="C510" s="66"/>
      <c r="D510" s="67" t="s">
        <v>466</v>
      </c>
      <c r="E510" s="71" t="s">
        <v>467</v>
      </c>
      <c r="F510" s="61"/>
      <c r="G510" s="62" t="s">
        <v>21</v>
      </c>
      <c r="H510" s="124">
        <v>93</v>
      </c>
      <c r="I510" s="208"/>
      <c r="J510"/>
      <c r="K510"/>
      <c r="L510"/>
      <c r="Q510"/>
      <c r="U510" s="222"/>
    </row>
    <row r="511" spans="1:21" s="98" customFormat="1" ht="38.25">
      <c r="A511" s="145"/>
      <c r="B511" s="35"/>
      <c r="C511" s="66"/>
      <c r="D511" s="67"/>
      <c r="E511" s="65" t="s">
        <v>1041</v>
      </c>
      <c r="F511" s="90">
        <v>76</v>
      </c>
      <c r="G511" s="62"/>
      <c r="H511" s="42"/>
      <c r="I511" s="208"/>
      <c r="J511"/>
      <c r="K511"/>
      <c r="L511"/>
      <c r="Q511"/>
      <c r="U511" s="222"/>
    </row>
    <row r="512" spans="1:21" s="98" customFormat="1" ht="38.25">
      <c r="A512" s="145"/>
      <c r="B512" s="35"/>
      <c r="C512" s="66"/>
      <c r="D512" s="67"/>
      <c r="E512" s="65" t="s">
        <v>1042</v>
      </c>
      <c r="F512" s="138">
        <v>17</v>
      </c>
      <c r="G512" s="62"/>
      <c r="H512" s="42"/>
      <c r="I512" s="208"/>
      <c r="J512"/>
      <c r="K512"/>
      <c r="L512"/>
      <c r="Q512"/>
      <c r="U512" s="222"/>
    </row>
    <row r="513" spans="1:21" s="98" customFormat="1">
      <c r="A513" s="145"/>
      <c r="B513" s="35"/>
      <c r="C513" s="66"/>
      <c r="D513" s="67"/>
      <c r="E513" s="71"/>
      <c r="F513" s="90">
        <f>SUM(F511:F512)</f>
        <v>93</v>
      </c>
      <c r="G513" s="62"/>
      <c r="H513" s="42"/>
      <c r="I513" s="208"/>
      <c r="J513"/>
      <c r="K513"/>
      <c r="L513"/>
      <c r="Q513"/>
      <c r="U513" s="222"/>
    </row>
    <row r="514" spans="1:21" s="98" customFormat="1" ht="25.5">
      <c r="A514" s="145"/>
      <c r="B514" s="35"/>
      <c r="C514" s="66"/>
      <c r="D514" s="67" t="s">
        <v>488</v>
      </c>
      <c r="E514" s="71" t="s">
        <v>489</v>
      </c>
      <c r="F514" s="61"/>
      <c r="G514" s="62" t="s">
        <v>21</v>
      </c>
      <c r="H514" s="124">
        <v>1140</v>
      </c>
      <c r="I514" s="208"/>
      <c r="J514"/>
      <c r="K514"/>
      <c r="L514"/>
      <c r="Q514"/>
      <c r="U514" s="222"/>
    </row>
    <row r="515" spans="1:21" s="98" customFormat="1" ht="25.5">
      <c r="A515" s="145"/>
      <c r="B515" s="35"/>
      <c r="C515" s="35"/>
      <c r="D515" s="94"/>
      <c r="E515" s="65" t="s">
        <v>1043</v>
      </c>
      <c r="F515" s="224">
        <v>1140</v>
      </c>
      <c r="G515" s="97"/>
      <c r="H515" s="42"/>
      <c r="I515" s="208"/>
      <c r="J515"/>
      <c r="K515"/>
      <c r="L515"/>
      <c r="Q515"/>
      <c r="U515" s="222"/>
    </row>
    <row r="516" spans="1:21" s="98" customFormat="1">
      <c r="A516" s="145"/>
      <c r="B516" s="35"/>
      <c r="C516" s="35"/>
      <c r="D516" s="94"/>
      <c r="E516" s="65"/>
      <c r="F516" s="224"/>
      <c r="G516" s="97"/>
      <c r="H516" s="42"/>
      <c r="I516" s="208"/>
      <c r="J516"/>
      <c r="K516"/>
      <c r="L516"/>
      <c r="Q516"/>
      <c r="U516" s="222"/>
    </row>
    <row r="517" spans="1:21" s="98" customFormat="1" ht="25.5">
      <c r="A517" s="34">
        <f>MAX(A$1:A516)+1</f>
        <v>62</v>
      </c>
      <c r="B517" s="43"/>
      <c r="C517" s="36" t="s">
        <v>263</v>
      </c>
      <c r="D517" s="37"/>
      <c r="E517" s="38" t="s">
        <v>818</v>
      </c>
      <c r="F517" s="39"/>
      <c r="G517" s="40" t="s">
        <v>36</v>
      </c>
      <c r="H517" s="64">
        <v>3171</v>
      </c>
      <c r="I517" s="708"/>
      <c r="J517"/>
      <c r="K517"/>
      <c r="L517"/>
      <c r="Q517"/>
      <c r="U517" s="222"/>
    </row>
    <row r="518" spans="1:21" s="98" customFormat="1" ht="26.25">
      <c r="A518" s="283"/>
      <c r="B518" s="35"/>
      <c r="C518" s="35"/>
      <c r="D518" s="94"/>
      <c r="E518" s="68" t="s">
        <v>1044</v>
      </c>
      <c r="F518" s="90">
        <v>1711</v>
      </c>
      <c r="G518" s="97"/>
      <c r="H518" s="124"/>
      <c r="I518" s="693"/>
      <c r="J518"/>
      <c r="K518"/>
      <c r="L518"/>
      <c r="Q518"/>
      <c r="U518" s="222"/>
    </row>
    <row r="519" spans="1:21" s="98" customFormat="1" ht="26.25">
      <c r="A519" s="698"/>
      <c r="B519" s="35"/>
      <c r="C519" s="35"/>
      <c r="D519" s="94"/>
      <c r="E519" s="68" t="s">
        <v>1045</v>
      </c>
      <c r="F519" s="90">
        <v>45</v>
      </c>
      <c r="G519" s="97"/>
      <c r="H519" s="124"/>
      <c r="I519" s="693"/>
      <c r="J519"/>
      <c r="K519"/>
      <c r="L519"/>
      <c r="Q519"/>
      <c r="U519" s="222"/>
    </row>
    <row r="520" spans="1:21" s="98" customFormat="1" ht="26.25">
      <c r="A520" s="698"/>
      <c r="B520" s="35"/>
      <c r="C520" s="35"/>
      <c r="D520" s="94"/>
      <c r="E520" s="68" t="s">
        <v>1046</v>
      </c>
      <c r="F520" s="90">
        <v>530</v>
      </c>
      <c r="G520" s="97"/>
      <c r="H520" s="124"/>
      <c r="I520" s="693"/>
      <c r="J520"/>
      <c r="K520"/>
      <c r="L520"/>
      <c r="Q520"/>
      <c r="U520" s="222"/>
    </row>
    <row r="521" spans="1:21" s="98" customFormat="1" ht="26.25">
      <c r="A521" s="698"/>
      <c r="B521" s="35"/>
      <c r="C521" s="35"/>
      <c r="D521" s="94"/>
      <c r="E521" s="68" t="s">
        <v>1047</v>
      </c>
      <c r="F521" s="90">
        <v>550</v>
      </c>
      <c r="G521" s="97"/>
      <c r="H521" s="124"/>
      <c r="I521" s="693"/>
      <c r="J521"/>
      <c r="K521"/>
      <c r="L521"/>
      <c r="Q521"/>
      <c r="U521" s="222"/>
    </row>
    <row r="522" spans="1:21" s="98" customFormat="1" ht="26.25">
      <c r="A522" s="698"/>
      <c r="B522" s="35"/>
      <c r="C522" s="35"/>
      <c r="D522" s="94"/>
      <c r="E522" s="68" t="s">
        <v>1292</v>
      </c>
      <c r="F522" s="90">
        <v>240</v>
      </c>
      <c r="G522" s="97"/>
      <c r="H522" s="124"/>
      <c r="I522" s="693"/>
      <c r="J522"/>
      <c r="K522"/>
      <c r="L522"/>
      <c r="Q522"/>
      <c r="U522" s="222"/>
    </row>
    <row r="523" spans="1:21" s="98" customFormat="1" ht="26.25">
      <c r="A523" s="698"/>
      <c r="B523" s="35"/>
      <c r="C523" s="35"/>
      <c r="D523" s="94"/>
      <c r="E523" s="68" t="s">
        <v>1293</v>
      </c>
      <c r="F523" s="90">
        <v>35</v>
      </c>
      <c r="G523" s="97"/>
      <c r="H523" s="124"/>
      <c r="I523" s="693"/>
      <c r="J523"/>
      <c r="K523"/>
      <c r="L523"/>
      <c r="Q523"/>
      <c r="U523" s="222"/>
    </row>
    <row r="524" spans="1:21" s="98" customFormat="1" ht="26.25">
      <c r="A524" s="698"/>
      <c r="B524" s="35"/>
      <c r="C524" s="35"/>
      <c r="D524" s="94"/>
      <c r="E524" s="68" t="s">
        <v>1048</v>
      </c>
      <c r="F524" s="138">
        <v>60</v>
      </c>
      <c r="G524" s="97"/>
      <c r="H524" s="124"/>
      <c r="I524" s="693"/>
      <c r="J524"/>
      <c r="K524"/>
      <c r="L524"/>
      <c r="Q524"/>
      <c r="U524" s="222"/>
    </row>
    <row r="525" spans="1:21" s="98" customFormat="1">
      <c r="A525" s="698"/>
      <c r="B525" s="35"/>
      <c r="C525" s="35"/>
      <c r="D525" s="94"/>
      <c r="E525" s="68"/>
      <c r="F525" s="90">
        <f>SUM(F518:F524)</f>
        <v>3171</v>
      </c>
      <c r="G525" s="97"/>
      <c r="H525" s="124"/>
      <c r="I525" s="693"/>
      <c r="J525"/>
      <c r="K525"/>
      <c r="L525"/>
      <c r="Q525"/>
      <c r="U525" s="222"/>
    </row>
    <row r="526" spans="1:21" s="98" customFormat="1">
      <c r="A526" s="698"/>
      <c r="B526" s="35"/>
      <c r="C526" s="35"/>
      <c r="D526" s="94"/>
      <c r="E526" s="68"/>
      <c r="F526" s="90"/>
      <c r="G526" s="97"/>
      <c r="H526" s="124"/>
      <c r="I526" s="693"/>
      <c r="J526"/>
      <c r="K526"/>
      <c r="L526"/>
      <c r="Q526"/>
      <c r="U526" s="222"/>
    </row>
    <row r="527" spans="1:21" s="98" customFormat="1">
      <c r="A527" s="34">
        <f>MAX(A$1:A526)+1</f>
        <v>63</v>
      </c>
      <c r="B527" s="35"/>
      <c r="C527" s="36" t="s">
        <v>369</v>
      </c>
      <c r="D527" s="37"/>
      <c r="E527" s="38" t="s">
        <v>370</v>
      </c>
      <c r="F527" s="39"/>
      <c r="G527" s="40" t="s">
        <v>36</v>
      </c>
      <c r="H527" s="64">
        <v>106</v>
      </c>
      <c r="I527" s="208"/>
      <c r="J527"/>
      <c r="K527"/>
      <c r="L527"/>
      <c r="Q527"/>
      <c r="U527" s="222"/>
    </row>
    <row r="528" spans="1:21" s="98" customFormat="1">
      <c r="A528" s="145"/>
      <c r="B528" s="35"/>
      <c r="C528" s="66"/>
      <c r="D528" s="67" t="s">
        <v>371</v>
      </c>
      <c r="E528" s="71" t="s">
        <v>372</v>
      </c>
      <c r="F528" s="61"/>
      <c r="G528" s="62" t="s">
        <v>36</v>
      </c>
      <c r="H528" s="83">
        <v>106</v>
      </c>
      <c r="I528" s="208"/>
      <c r="J528"/>
      <c r="K528"/>
      <c r="L528"/>
      <c r="Q528"/>
      <c r="U528" s="222"/>
    </row>
    <row r="529" spans="1:21" s="98" customFormat="1" ht="25.5">
      <c r="A529" s="145"/>
      <c r="B529" s="35"/>
      <c r="C529" s="35"/>
      <c r="D529" s="94"/>
      <c r="E529" s="65" t="s">
        <v>1294</v>
      </c>
      <c r="F529" s="224">
        <v>106</v>
      </c>
      <c r="G529" s="97"/>
      <c r="H529" s="42"/>
      <c r="I529" s="208"/>
      <c r="J529"/>
      <c r="K529"/>
      <c r="L529"/>
      <c r="Q529"/>
      <c r="U529" s="222"/>
    </row>
    <row r="530" spans="1:21" s="98" customFormat="1">
      <c r="A530" s="145"/>
      <c r="B530" s="35"/>
      <c r="C530" s="35"/>
      <c r="D530" s="94"/>
      <c r="E530" s="65"/>
      <c r="F530" s="224"/>
      <c r="G530" s="97"/>
      <c r="H530" s="42"/>
      <c r="I530" s="208"/>
      <c r="J530"/>
      <c r="K530"/>
      <c r="L530"/>
      <c r="Q530"/>
      <c r="U530" s="222"/>
    </row>
    <row r="531" spans="1:21" s="98" customFormat="1">
      <c r="A531" s="34">
        <f>MAX(A$1:A530)+1</f>
        <v>64</v>
      </c>
      <c r="B531" s="35"/>
      <c r="C531" s="36" t="s">
        <v>336</v>
      </c>
      <c r="D531" s="37"/>
      <c r="E531" s="38" t="s">
        <v>337</v>
      </c>
      <c r="F531" s="39"/>
      <c r="G531" s="40" t="s">
        <v>36</v>
      </c>
      <c r="H531" s="64">
        <v>24</v>
      </c>
      <c r="I531" s="208"/>
      <c r="J531"/>
      <c r="K531"/>
      <c r="L531"/>
      <c r="Q531"/>
      <c r="U531" s="222"/>
    </row>
    <row r="532" spans="1:21" s="98" customFormat="1" ht="25.5">
      <c r="A532" s="145"/>
      <c r="B532" s="35"/>
      <c r="C532" s="37"/>
      <c r="D532" s="67" t="s">
        <v>338</v>
      </c>
      <c r="E532" s="71" t="s">
        <v>339</v>
      </c>
      <c r="F532" s="61"/>
      <c r="G532" s="62" t="s">
        <v>36</v>
      </c>
      <c r="H532" s="83">
        <v>24</v>
      </c>
      <c r="I532" s="208"/>
      <c r="J532"/>
      <c r="K532"/>
      <c r="L532"/>
      <c r="Q532"/>
      <c r="U532" s="222"/>
    </row>
    <row r="533" spans="1:21" s="98" customFormat="1" ht="25.5">
      <c r="A533" s="145"/>
      <c r="B533" s="35"/>
      <c r="C533" s="35"/>
      <c r="D533" s="94"/>
      <c r="E533" s="65" t="s">
        <v>1295</v>
      </c>
      <c r="F533" s="224">
        <v>24</v>
      </c>
      <c r="G533" s="97"/>
      <c r="H533" s="42"/>
      <c r="I533" s="208"/>
      <c r="J533"/>
      <c r="K533"/>
      <c r="L533"/>
      <c r="Q533"/>
      <c r="U533" s="222"/>
    </row>
    <row r="534" spans="1:21" s="98" customFormat="1">
      <c r="A534" s="145"/>
      <c r="B534" s="35"/>
      <c r="C534" s="35"/>
      <c r="D534" s="94"/>
      <c r="E534" s="65"/>
      <c r="F534" s="224"/>
      <c r="G534" s="97"/>
      <c r="H534" s="42"/>
      <c r="I534" s="208"/>
      <c r="J534"/>
      <c r="K534"/>
      <c r="L534"/>
      <c r="Q534"/>
      <c r="U534" s="222"/>
    </row>
    <row r="535" spans="1:21" s="98" customFormat="1">
      <c r="A535" s="34">
        <f>MAX(A$1:A533)+1</f>
        <v>65</v>
      </c>
      <c r="B535" s="43"/>
      <c r="C535" s="36" t="s">
        <v>264</v>
      </c>
      <c r="D535" s="37"/>
      <c r="E535" s="38" t="s">
        <v>265</v>
      </c>
      <c r="F535" s="39"/>
      <c r="G535" s="40" t="s">
        <v>36</v>
      </c>
      <c r="H535" s="64">
        <v>40</v>
      </c>
      <c r="I535" s="208"/>
      <c r="J535"/>
      <c r="K535"/>
      <c r="L535"/>
      <c r="Q535"/>
      <c r="U535" s="222"/>
    </row>
    <row r="536" spans="1:21" s="98" customFormat="1" ht="38.25">
      <c r="A536" s="145"/>
      <c r="B536" s="35"/>
      <c r="C536" s="35"/>
      <c r="D536" s="94"/>
      <c r="E536" s="65" t="s">
        <v>1296</v>
      </c>
      <c r="F536" s="224">
        <v>40</v>
      </c>
      <c r="G536" s="97"/>
      <c r="H536" s="42"/>
      <c r="I536" s="208"/>
      <c r="J536"/>
      <c r="K536"/>
      <c r="L536"/>
      <c r="Q536"/>
      <c r="U536" s="222"/>
    </row>
    <row r="537" spans="1:21" s="98" customFormat="1">
      <c r="A537" s="145"/>
      <c r="B537" s="35"/>
      <c r="C537" s="35"/>
      <c r="D537" s="94"/>
      <c r="E537" s="65"/>
      <c r="F537" s="224"/>
      <c r="G537" s="97"/>
      <c r="H537" s="42"/>
      <c r="I537" s="208"/>
      <c r="J537"/>
      <c r="K537"/>
      <c r="L537"/>
      <c r="Q537"/>
      <c r="U537" s="222"/>
    </row>
    <row r="538" spans="1:21" s="98" customFormat="1" ht="25.5">
      <c r="A538" s="34">
        <f>MAX(A$1:A537)+1</f>
        <v>66</v>
      </c>
      <c r="B538" s="35"/>
      <c r="C538" s="36" t="s">
        <v>266</v>
      </c>
      <c r="D538" s="37"/>
      <c r="E538" s="38" t="s">
        <v>267</v>
      </c>
      <c r="F538" s="39"/>
      <c r="G538" s="40" t="s">
        <v>33</v>
      </c>
      <c r="H538" s="64">
        <v>34</v>
      </c>
      <c r="I538" s="695"/>
      <c r="J538"/>
      <c r="K538"/>
      <c r="L538"/>
      <c r="Q538"/>
      <c r="U538" s="222"/>
    </row>
    <row r="539" spans="1:21" s="98" customFormat="1" ht="25.5">
      <c r="A539" s="145"/>
      <c r="B539" s="35"/>
      <c r="C539" s="35"/>
      <c r="D539" s="67" t="s">
        <v>268</v>
      </c>
      <c r="E539" s="71" t="s">
        <v>269</v>
      </c>
      <c r="F539" s="61"/>
      <c r="G539" s="62" t="s">
        <v>33</v>
      </c>
      <c r="H539" s="83">
        <v>34</v>
      </c>
      <c r="I539" s="208"/>
      <c r="J539"/>
      <c r="K539"/>
      <c r="L539"/>
      <c r="Q539"/>
      <c r="U539" s="222"/>
    </row>
    <row r="540" spans="1:21" s="98" customFormat="1">
      <c r="A540" s="145"/>
      <c r="B540" s="35"/>
      <c r="C540" s="35"/>
      <c r="D540" s="94"/>
      <c r="E540" s="84" t="s">
        <v>1049</v>
      </c>
      <c r="F540" s="212"/>
      <c r="G540" s="97"/>
      <c r="H540" s="42"/>
      <c r="I540" s="208"/>
      <c r="J540"/>
      <c r="K540"/>
      <c r="L540"/>
      <c r="Q540"/>
      <c r="U540" s="222"/>
    </row>
    <row r="541" spans="1:21" s="98" customFormat="1">
      <c r="A541" s="145"/>
      <c r="B541" s="35"/>
      <c r="C541" s="35"/>
      <c r="D541" s="94"/>
      <c r="E541" s="77" t="s">
        <v>1297</v>
      </c>
      <c r="F541" s="212">
        <v>1</v>
      </c>
      <c r="G541" s="97"/>
      <c r="H541" s="42"/>
      <c r="I541" s="208"/>
      <c r="J541"/>
      <c r="K541"/>
      <c r="L541"/>
      <c r="M541" s="699"/>
      <c r="Q541"/>
      <c r="U541" s="222"/>
    </row>
    <row r="542" spans="1:21" s="98" customFormat="1" ht="25.5">
      <c r="A542" s="145"/>
      <c r="B542" s="35"/>
      <c r="C542" s="35"/>
      <c r="D542" s="94"/>
      <c r="E542" s="65" t="s">
        <v>1298</v>
      </c>
      <c r="F542" s="212">
        <v>1</v>
      </c>
      <c r="G542" s="97"/>
      <c r="H542" s="42"/>
      <c r="I542" s="208"/>
      <c r="J542"/>
      <c r="K542"/>
      <c r="L542"/>
      <c r="M542" s="699"/>
      <c r="Q542"/>
      <c r="U542" s="222"/>
    </row>
    <row r="543" spans="1:21" s="98" customFormat="1" ht="25.5">
      <c r="A543" s="145"/>
      <c r="B543" s="35"/>
      <c r="C543" s="35"/>
      <c r="D543" s="94"/>
      <c r="E543" s="65" t="s">
        <v>1299</v>
      </c>
      <c r="F543" s="213">
        <v>1</v>
      </c>
      <c r="G543" s="97"/>
      <c r="H543" s="42"/>
      <c r="I543" s="208"/>
      <c r="J543"/>
      <c r="K543"/>
      <c r="L543"/>
      <c r="M543" s="699"/>
      <c r="Q543"/>
      <c r="U543" s="222"/>
    </row>
    <row r="544" spans="1:21" s="98" customFormat="1">
      <c r="A544" s="145"/>
      <c r="B544" s="35"/>
      <c r="C544" s="35"/>
      <c r="D544" s="94"/>
      <c r="E544" s="84"/>
      <c r="F544" s="212">
        <f>SUM(F541:F543)</f>
        <v>3</v>
      </c>
      <c r="G544" s="97"/>
      <c r="H544" s="42"/>
      <c r="I544" s="208"/>
      <c r="J544"/>
      <c r="K544"/>
      <c r="L544"/>
      <c r="Q544"/>
      <c r="U544" s="222"/>
    </row>
    <row r="545" spans="1:21" s="98" customFormat="1">
      <c r="A545" s="145"/>
      <c r="B545" s="35"/>
      <c r="C545" s="35"/>
      <c r="D545" s="94"/>
      <c r="E545" s="84"/>
      <c r="F545" s="212"/>
      <c r="G545" s="97"/>
      <c r="H545" s="42"/>
      <c r="I545" s="208"/>
      <c r="J545"/>
      <c r="K545"/>
      <c r="L545"/>
      <c r="Q545"/>
      <c r="U545" s="222"/>
    </row>
    <row r="546" spans="1:21" s="98" customFormat="1">
      <c r="A546" s="145"/>
      <c r="B546" s="35"/>
      <c r="C546" s="35"/>
      <c r="D546" s="94"/>
      <c r="E546" s="77" t="s">
        <v>1300</v>
      </c>
      <c r="F546" s="212">
        <v>1</v>
      </c>
      <c r="G546" s="97"/>
      <c r="H546" s="42"/>
      <c r="I546" s="208"/>
      <c r="J546"/>
      <c r="K546"/>
      <c r="L546"/>
      <c r="M546" s="699"/>
      <c r="Q546"/>
      <c r="U546" s="222"/>
    </row>
    <row r="547" spans="1:21" s="98" customFormat="1">
      <c r="A547" s="145"/>
      <c r="B547" s="35"/>
      <c r="C547" s="35"/>
      <c r="D547" s="94"/>
      <c r="E547" s="77" t="s">
        <v>1301</v>
      </c>
      <c r="F547" s="212">
        <v>1</v>
      </c>
      <c r="G547" s="97"/>
      <c r="H547" s="42"/>
      <c r="I547" s="208"/>
      <c r="J547"/>
      <c r="K547"/>
      <c r="L547"/>
      <c r="M547" s="699"/>
      <c r="Q547"/>
      <c r="U547" s="222"/>
    </row>
    <row r="548" spans="1:21" s="98" customFormat="1">
      <c r="A548" s="145"/>
      <c r="B548" s="35"/>
      <c r="C548" s="35"/>
      <c r="D548" s="94"/>
      <c r="E548" s="77" t="s">
        <v>1051</v>
      </c>
      <c r="F548" s="212">
        <v>1</v>
      </c>
      <c r="G548" s="97"/>
      <c r="H548" s="42"/>
      <c r="I548" s="208"/>
      <c r="J548"/>
      <c r="K548"/>
      <c r="L548"/>
      <c r="M548" s="699"/>
      <c r="Q548"/>
      <c r="U548" s="222"/>
    </row>
    <row r="549" spans="1:21" s="98" customFormat="1">
      <c r="A549" s="145"/>
      <c r="B549" s="35"/>
      <c r="C549" s="35"/>
      <c r="D549" s="94"/>
      <c r="E549" s="77" t="s">
        <v>1055</v>
      </c>
      <c r="F549" s="212">
        <v>1</v>
      </c>
      <c r="G549" s="97"/>
      <c r="H549" s="42"/>
      <c r="I549" s="208"/>
      <c r="J549"/>
      <c r="K549"/>
      <c r="L549"/>
      <c r="M549" s="699"/>
      <c r="Q549"/>
      <c r="U549" s="222"/>
    </row>
    <row r="550" spans="1:21" s="98" customFormat="1">
      <c r="A550" s="145"/>
      <c r="B550" s="35"/>
      <c r="C550" s="35"/>
      <c r="D550" s="94"/>
      <c r="E550" s="77" t="s">
        <v>1052</v>
      </c>
      <c r="F550" s="212">
        <v>4</v>
      </c>
      <c r="G550" s="97"/>
      <c r="H550" s="42"/>
      <c r="I550" s="208"/>
      <c r="J550"/>
      <c r="K550"/>
      <c r="L550"/>
      <c r="M550" s="699"/>
      <c r="Q550"/>
      <c r="U550" s="222"/>
    </row>
    <row r="551" spans="1:21" s="98" customFormat="1" ht="25.5">
      <c r="A551" s="145"/>
      <c r="B551" s="35"/>
      <c r="C551" s="35"/>
      <c r="D551" s="94"/>
      <c r="E551" s="77" t="s">
        <v>1302</v>
      </c>
      <c r="F551" s="212">
        <v>6</v>
      </c>
      <c r="G551" s="97"/>
      <c r="H551" s="42"/>
      <c r="I551" s="208"/>
      <c r="J551"/>
      <c r="K551"/>
      <c r="L551"/>
      <c r="M551" s="699"/>
      <c r="Q551"/>
      <c r="U551" s="222"/>
    </row>
    <row r="552" spans="1:21" s="98" customFormat="1">
      <c r="A552" s="145"/>
      <c r="B552" s="35"/>
      <c r="C552" s="35"/>
      <c r="D552" s="94"/>
      <c r="E552" s="77" t="s">
        <v>1303</v>
      </c>
      <c r="F552" s="212">
        <v>1</v>
      </c>
      <c r="G552" s="97"/>
      <c r="H552" s="42"/>
      <c r="I552" s="208"/>
      <c r="J552"/>
      <c r="K552"/>
      <c r="L552"/>
      <c r="M552" s="699"/>
      <c r="Q552"/>
      <c r="U552" s="222"/>
    </row>
    <row r="553" spans="1:21" s="98" customFormat="1">
      <c r="A553" s="145"/>
      <c r="B553" s="35"/>
      <c r="C553" s="35"/>
      <c r="D553" s="94"/>
      <c r="E553" s="77" t="s">
        <v>1056</v>
      </c>
      <c r="F553" s="212">
        <v>2</v>
      </c>
      <c r="G553" s="97"/>
      <c r="H553" s="42"/>
      <c r="I553" s="208"/>
      <c r="J553"/>
      <c r="K553"/>
      <c r="L553"/>
      <c r="M553" s="699"/>
      <c r="Q553"/>
      <c r="U553" s="222"/>
    </row>
    <row r="554" spans="1:21" s="98" customFormat="1">
      <c r="A554" s="145"/>
      <c r="B554" s="35"/>
      <c r="C554" s="35"/>
      <c r="D554" s="94"/>
      <c r="E554" s="77" t="s">
        <v>1304</v>
      </c>
      <c r="F554" s="212">
        <v>1</v>
      </c>
      <c r="G554" s="97"/>
      <c r="H554" s="42"/>
      <c r="I554" s="208"/>
      <c r="J554"/>
      <c r="K554"/>
      <c r="L554"/>
      <c r="M554" s="699"/>
      <c r="Q554"/>
      <c r="U554" s="222"/>
    </row>
    <row r="555" spans="1:21" s="98" customFormat="1">
      <c r="A555" s="145"/>
      <c r="B555" s="35"/>
      <c r="C555" s="35"/>
      <c r="D555" s="94"/>
      <c r="E555" s="77" t="s">
        <v>1305</v>
      </c>
      <c r="F555" s="212">
        <v>1</v>
      </c>
      <c r="G555" s="97"/>
      <c r="H555" s="42"/>
      <c r="I555" s="208"/>
      <c r="J555"/>
      <c r="K555"/>
      <c r="L555"/>
      <c r="M555" s="699"/>
      <c r="Q555"/>
      <c r="U555" s="222"/>
    </row>
    <row r="556" spans="1:21" s="98" customFormat="1" ht="25.5">
      <c r="A556" s="145"/>
      <c r="B556" s="35"/>
      <c r="C556" s="35"/>
      <c r="D556" s="94"/>
      <c r="E556" s="70" t="s">
        <v>1057</v>
      </c>
      <c r="F556" s="212">
        <v>5</v>
      </c>
      <c r="G556" s="97"/>
      <c r="H556" s="42"/>
      <c r="I556" s="208"/>
      <c r="J556"/>
      <c r="K556"/>
      <c r="L556"/>
      <c r="M556" s="699"/>
      <c r="Q556"/>
      <c r="U556" s="222"/>
    </row>
    <row r="557" spans="1:21" s="98" customFormat="1">
      <c r="A557" s="145"/>
      <c r="B557" s="35"/>
      <c r="C557" s="35"/>
      <c r="D557" s="94"/>
      <c r="E557" s="70" t="s">
        <v>1058</v>
      </c>
      <c r="F557" s="212">
        <v>3</v>
      </c>
      <c r="G557" s="97"/>
      <c r="H557" s="42"/>
      <c r="I557" s="208"/>
      <c r="J557"/>
      <c r="K557"/>
      <c r="L557"/>
      <c r="M557" s="699"/>
      <c r="Q557"/>
      <c r="U557" s="222"/>
    </row>
    <row r="558" spans="1:21" s="98" customFormat="1">
      <c r="A558" s="145"/>
      <c r="B558" s="35"/>
      <c r="C558" s="35"/>
      <c r="D558" s="94"/>
      <c r="E558" s="70" t="s">
        <v>1306</v>
      </c>
      <c r="F558" s="212">
        <v>1</v>
      </c>
      <c r="G558" s="97"/>
      <c r="H558" s="42"/>
      <c r="I558" s="208"/>
      <c r="J558"/>
      <c r="K558"/>
      <c r="L558"/>
      <c r="M558" s="699"/>
      <c r="Q558"/>
      <c r="U558" s="222"/>
    </row>
    <row r="559" spans="1:21" s="98" customFormat="1" ht="25.5">
      <c r="A559" s="145"/>
      <c r="B559" s="35"/>
      <c r="C559" s="35"/>
      <c r="D559" s="94"/>
      <c r="E559" s="77" t="s">
        <v>1060</v>
      </c>
      <c r="F559" s="213">
        <v>3</v>
      </c>
      <c r="G559" s="97"/>
      <c r="H559" s="42"/>
      <c r="I559" s="208"/>
      <c r="J559"/>
      <c r="K559"/>
      <c r="L559"/>
      <c r="M559" s="699"/>
      <c r="Q559"/>
      <c r="U559" s="222"/>
    </row>
    <row r="560" spans="1:21" s="98" customFormat="1">
      <c r="A560" s="145"/>
      <c r="B560" s="35"/>
      <c r="C560" s="35"/>
      <c r="D560" s="94"/>
      <c r="E560" s="77"/>
      <c r="F560" s="212">
        <f>SUM(F546:F559)</f>
        <v>31</v>
      </c>
      <c r="G560" s="97"/>
      <c r="H560" s="42"/>
      <c r="I560" s="208"/>
      <c r="J560"/>
      <c r="K560"/>
      <c r="L560"/>
      <c r="Q560"/>
      <c r="U560" s="222"/>
    </row>
    <row r="561" spans="1:21" s="98" customFormat="1">
      <c r="A561" s="145"/>
      <c r="B561" s="35"/>
      <c r="C561" s="35"/>
      <c r="D561" s="94"/>
      <c r="E561" s="77" t="s">
        <v>1307</v>
      </c>
      <c r="F561" s="212"/>
      <c r="G561" s="97"/>
      <c r="H561" s="42"/>
      <c r="I561" s="208"/>
      <c r="J561"/>
      <c r="K561"/>
      <c r="L561"/>
      <c r="Q561"/>
      <c r="U561" s="222"/>
    </row>
    <row r="562" spans="1:21" s="98" customFormat="1">
      <c r="A562" s="145"/>
      <c r="B562" s="35"/>
      <c r="C562" s="35"/>
      <c r="D562" s="94"/>
      <c r="E562" s="91" t="s">
        <v>41</v>
      </c>
      <c r="F562" s="264">
        <f>F544+F560</f>
        <v>34</v>
      </c>
      <c r="G562" s="97"/>
      <c r="H562" s="42"/>
      <c r="I562" s="208"/>
      <c r="J562"/>
      <c r="K562"/>
      <c r="L562"/>
      <c r="Q562"/>
      <c r="U562" s="222"/>
    </row>
    <row r="563" spans="1:21" s="98" customFormat="1">
      <c r="A563" s="145"/>
      <c r="B563" s="35"/>
      <c r="C563" s="35"/>
      <c r="D563" s="94"/>
      <c r="E563" s="50"/>
      <c r="F563" s="100"/>
      <c r="G563" s="97"/>
      <c r="H563" s="42"/>
      <c r="I563" s="208"/>
      <c r="J563"/>
      <c r="K563"/>
      <c r="L563"/>
      <c r="Q563"/>
      <c r="U563" s="222"/>
    </row>
    <row r="564" spans="1:21" s="98" customFormat="1" ht="25.5">
      <c r="A564" s="34">
        <f>MAX(A$1:A563)+1</f>
        <v>67</v>
      </c>
      <c r="B564" s="35"/>
      <c r="C564" s="36" t="s">
        <v>341</v>
      </c>
      <c r="D564" s="37"/>
      <c r="E564" s="38" t="s">
        <v>342</v>
      </c>
      <c r="F564" s="39"/>
      <c r="G564" s="40" t="s">
        <v>33</v>
      </c>
      <c r="H564" s="64">
        <v>11</v>
      </c>
      <c r="I564" s="695"/>
      <c r="J564"/>
      <c r="K564"/>
      <c r="L564"/>
      <c r="Q564"/>
      <c r="U564" s="222"/>
    </row>
    <row r="565" spans="1:21" s="98" customFormat="1" ht="25.5">
      <c r="A565" s="145"/>
      <c r="B565" s="35"/>
      <c r="C565" s="35"/>
      <c r="D565" s="67" t="s">
        <v>343</v>
      </c>
      <c r="E565" s="71" t="s">
        <v>344</v>
      </c>
      <c r="F565" s="61"/>
      <c r="G565" s="62" t="s">
        <v>33</v>
      </c>
      <c r="H565" s="83">
        <v>11</v>
      </c>
      <c r="I565" s="208"/>
      <c r="J565"/>
      <c r="K565"/>
      <c r="L565"/>
      <c r="Q565"/>
      <c r="U565" s="222"/>
    </row>
    <row r="566" spans="1:21" s="98" customFormat="1">
      <c r="A566" s="145"/>
      <c r="B566" s="35"/>
      <c r="C566" s="35"/>
      <c r="D566" s="94"/>
      <c r="E566" s="84" t="s">
        <v>1049</v>
      </c>
      <c r="F566" s="100"/>
      <c r="G566" s="97"/>
      <c r="H566" s="42"/>
      <c r="I566" s="208"/>
      <c r="J566"/>
      <c r="K566"/>
      <c r="L566"/>
      <c r="Q566"/>
      <c r="U566" s="222"/>
    </row>
    <row r="567" spans="1:21" s="98" customFormat="1" ht="38.25">
      <c r="A567" s="145"/>
      <c r="B567" s="35"/>
      <c r="C567" s="35"/>
      <c r="D567" s="94"/>
      <c r="E567" s="77" t="s">
        <v>1308</v>
      </c>
      <c r="F567" s="212">
        <v>2</v>
      </c>
      <c r="G567" s="97"/>
      <c r="H567" s="42"/>
      <c r="I567" s="208"/>
      <c r="J567"/>
      <c r="K567"/>
      <c r="L567"/>
      <c r="M567" s="699"/>
      <c r="Q567"/>
      <c r="U567" s="222"/>
    </row>
    <row r="568" spans="1:21" s="98" customFormat="1" ht="38.25">
      <c r="A568" s="145"/>
      <c r="B568" s="35"/>
      <c r="C568" s="35"/>
      <c r="D568" s="94"/>
      <c r="E568" s="77" t="s">
        <v>1309</v>
      </c>
      <c r="F568" s="212">
        <v>1</v>
      </c>
      <c r="G568" s="97"/>
      <c r="H568" s="42"/>
      <c r="I568" s="208"/>
      <c r="J568"/>
      <c r="K568"/>
      <c r="L568"/>
      <c r="M568" s="699"/>
      <c r="Q568"/>
      <c r="U568" s="222"/>
    </row>
    <row r="569" spans="1:21" s="98" customFormat="1" ht="51">
      <c r="A569" s="145"/>
      <c r="B569" s="35"/>
      <c r="C569" s="35"/>
      <c r="D569" s="94"/>
      <c r="E569" s="77" t="s">
        <v>1310</v>
      </c>
      <c r="F569" s="212">
        <v>1</v>
      </c>
      <c r="G569" s="97"/>
      <c r="H569" s="42"/>
      <c r="I569" s="208"/>
      <c r="J569"/>
      <c r="K569"/>
      <c r="L569"/>
      <c r="M569" s="699"/>
      <c r="Q569"/>
      <c r="U569" s="222"/>
    </row>
    <row r="570" spans="1:21" s="98" customFormat="1" ht="51">
      <c r="A570" s="145"/>
      <c r="B570" s="35"/>
      <c r="C570" s="35"/>
      <c r="D570" s="94"/>
      <c r="E570" s="77" t="s">
        <v>1311</v>
      </c>
      <c r="F570" s="212">
        <v>1</v>
      </c>
      <c r="G570" s="97"/>
      <c r="H570" s="42"/>
      <c r="I570" s="208"/>
      <c r="J570"/>
      <c r="K570"/>
      <c r="L570"/>
      <c r="M570" s="699"/>
      <c r="Q570"/>
      <c r="U570" s="222"/>
    </row>
    <row r="571" spans="1:21" s="98" customFormat="1" ht="38.25">
      <c r="A571" s="145"/>
      <c r="B571" s="35"/>
      <c r="C571" s="35"/>
      <c r="D571" s="94"/>
      <c r="E571" s="77" t="s">
        <v>1312</v>
      </c>
      <c r="F571" s="212">
        <v>1</v>
      </c>
      <c r="G571" s="97"/>
      <c r="H571" s="42"/>
      <c r="I571" s="208"/>
      <c r="J571"/>
      <c r="K571"/>
      <c r="L571"/>
      <c r="M571" s="699"/>
      <c r="Q571"/>
      <c r="U571" s="222"/>
    </row>
    <row r="572" spans="1:21" s="98" customFormat="1" ht="51">
      <c r="A572" s="145"/>
      <c r="B572" s="35"/>
      <c r="C572" s="35"/>
      <c r="D572" s="94"/>
      <c r="E572" s="77" t="s">
        <v>1313</v>
      </c>
      <c r="F572" s="213">
        <v>1</v>
      </c>
      <c r="G572" s="97"/>
      <c r="H572" s="42"/>
      <c r="I572" s="208"/>
      <c r="J572"/>
      <c r="K572"/>
      <c r="L572"/>
      <c r="M572" s="699"/>
      <c r="Q572"/>
      <c r="U572" s="222"/>
    </row>
    <row r="573" spans="1:21" s="98" customFormat="1">
      <c r="A573" s="145"/>
      <c r="B573" s="35"/>
      <c r="C573" s="35"/>
      <c r="D573" s="94"/>
      <c r="E573" s="84"/>
      <c r="F573" s="212">
        <f>SUM(F567:F572)</f>
        <v>7</v>
      </c>
      <c r="G573" s="97"/>
      <c r="H573" s="42"/>
      <c r="I573" s="208"/>
      <c r="J573"/>
      <c r="K573"/>
      <c r="L573"/>
      <c r="O573" s="700"/>
      <c r="Q573"/>
      <c r="U573" s="222"/>
    </row>
    <row r="574" spans="1:21" s="98" customFormat="1">
      <c r="A574" s="145"/>
      <c r="B574" s="35"/>
      <c r="C574" s="35"/>
      <c r="D574" s="94"/>
      <c r="E574" s="84"/>
      <c r="F574" s="100"/>
      <c r="G574" s="97"/>
      <c r="H574" s="42"/>
      <c r="I574" s="208"/>
      <c r="J574"/>
      <c r="K574"/>
      <c r="L574"/>
      <c r="Q574"/>
      <c r="U574" s="222"/>
    </row>
    <row r="575" spans="1:21" s="98" customFormat="1">
      <c r="A575" s="145"/>
      <c r="B575" s="35"/>
      <c r="C575" s="35"/>
      <c r="D575" s="94"/>
      <c r="E575" s="77" t="s">
        <v>1063</v>
      </c>
      <c r="F575" s="212">
        <v>4</v>
      </c>
      <c r="G575" s="97"/>
      <c r="H575" s="42"/>
      <c r="I575" s="208"/>
      <c r="J575"/>
      <c r="K575" s="702"/>
      <c r="L575"/>
      <c r="M575" s="699"/>
      <c r="Q575"/>
      <c r="U575" s="222"/>
    </row>
    <row r="576" spans="1:21" s="98" customFormat="1">
      <c r="A576" s="145"/>
      <c r="B576" s="35"/>
      <c r="C576" s="35"/>
      <c r="D576" s="94"/>
      <c r="E576" s="77" t="s">
        <v>1066</v>
      </c>
      <c r="F576" s="100"/>
      <c r="G576" s="97"/>
      <c r="H576" s="42"/>
      <c r="I576" s="208"/>
      <c r="J576"/>
      <c r="K576"/>
      <c r="L576"/>
      <c r="Q576"/>
      <c r="U576" s="222"/>
    </row>
    <row r="577" spans="1:21" s="98" customFormat="1">
      <c r="A577" s="145"/>
      <c r="B577" s="35"/>
      <c r="C577" s="35"/>
      <c r="D577" s="94"/>
      <c r="E577" s="91" t="s">
        <v>41</v>
      </c>
      <c r="F577" s="264">
        <f>F573+F575</f>
        <v>11</v>
      </c>
      <c r="G577" s="97"/>
      <c r="H577" s="42"/>
      <c r="I577" s="208"/>
      <c r="J577"/>
      <c r="K577"/>
      <c r="L577"/>
      <c r="Q577"/>
      <c r="U577" s="222"/>
    </row>
    <row r="578" spans="1:21" s="98" customFormat="1">
      <c r="A578" s="145"/>
      <c r="B578" s="35"/>
      <c r="C578" s="35"/>
      <c r="D578" s="94"/>
      <c r="E578" s="77"/>
      <c r="F578" s="100"/>
      <c r="G578" s="97"/>
      <c r="H578" s="42"/>
      <c r="I578" s="208"/>
      <c r="J578"/>
      <c r="K578"/>
      <c r="L578"/>
      <c r="Q578"/>
      <c r="U578" s="222"/>
    </row>
    <row r="579" spans="1:21" s="98" customFormat="1" ht="25.5">
      <c r="A579" s="34">
        <f>MAX(A$1:A578)+1</f>
        <v>68</v>
      </c>
      <c r="B579" s="35"/>
      <c r="C579" s="36" t="s">
        <v>813</v>
      </c>
      <c r="D579" s="37"/>
      <c r="E579" s="38" t="s">
        <v>814</v>
      </c>
      <c r="F579" s="92"/>
      <c r="G579" s="40" t="s">
        <v>33</v>
      </c>
      <c r="H579" s="64">
        <v>2</v>
      </c>
      <c r="I579" s="208"/>
      <c r="J579"/>
      <c r="K579"/>
      <c r="L579"/>
      <c r="Q579"/>
      <c r="U579" s="222"/>
    </row>
    <row r="580" spans="1:21" s="98" customFormat="1" ht="25.5">
      <c r="A580" s="145"/>
      <c r="B580" s="35"/>
      <c r="C580" s="66"/>
      <c r="D580" s="67" t="s">
        <v>815</v>
      </c>
      <c r="E580" s="71" t="s">
        <v>816</v>
      </c>
      <c r="F580" s="90"/>
      <c r="G580" s="62" t="s">
        <v>33</v>
      </c>
      <c r="H580" s="83">
        <v>2</v>
      </c>
      <c r="I580" s="208"/>
      <c r="J580"/>
      <c r="K580"/>
      <c r="L580"/>
      <c r="Q580"/>
      <c r="U580" s="222"/>
    </row>
    <row r="581" spans="1:21" s="98" customFormat="1" ht="25.5">
      <c r="A581" s="145"/>
      <c r="B581" s="35"/>
      <c r="C581" s="35"/>
      <c r="D581" s="94"/>
      <c r="E581" s="77" t="s">
        <v>1314</v>
      </c>
      <c r="F581" s="212">
        <v>1</v>
      </c>
      <c r="G581" s="97"/>
      <c r="H581" s="42"/>
      <c r="I581" s="208"/>
      <c r="J581"/>
      <c r="K581"/>
      <c r="L581"/>
      <c r="Q581"/>
      <c r="U581" s="222"/>
    </row>
    <row r="582" spans="1:21" s="98" customFormat="1">
      <c r="A582" s="145"/>
      <c r="B582" s="35"/>
      <c r="C582" s="35"/>
      <c r="D582" s="94"/>
      <c r="E582" s="289" t="s">
        <v>817</v>
      </c>
      <c r="F582" s="100"/>
      <c r="G582" s="97"/>
      <c r="H582" s="42"/>
      <c r="I582" s="208"/>
      <c r="J582"/>
      <c r="K582"/>
      <c r="L582"/>
      <c r="Q582"/>
      <c r="U582" s="222"/>
    </row>
    <row r="583" spans="1:21" s="98" customFormat="1">
      <c r="A583" s="145"/>
      <c r="B583" s="35"/>
      <c r="C583" s="35"/>
      <c r="D583" s="94"/>
      <c r="E583" s="289" t="s">
        <v>1315</v>
      </c>
      <c r="F583" s="100"/>
      <c r="G583" s="97"/>
      <c r="H583" s="42"/>
      <c r="I583" s="208"/>
      <c r="J583"/>
      <c r="K583"/>
      <c r="L583"/>
      <c r="Q583"/>
      <c r="U583" s="222"/>
    </row>
    <row r="584" spans="1:21" s="98" customFormat="1" ht="21">
      <c r="A584" s="145"/>
      <c r="B584" s="35"/>
      <c r="C584" s="35"/>
      <c r="D584" s="94"/>
      <c r="E584" s="289" t="s">
        <v>811</v>
      </c>
      <c r="F584" s="100"/>
      <c r="G584" s="97"/>
      <c r="H584" s="42"/>
      <c r="I584" s="709"/>
      <c r="J584"/>
      <c r="K584"/>
      <c r="L584"/>
      <c r="Q584"/>
      <c r="U584" s="222"/>
    </row>
    <row r="585" spans="1:21" s="98" customFormat="1" ht="21">
      <c r="A585" s="145"/>
      <c r="B585" s="35"/>
      <c r="C585" s="35"/>
      <c r="D585" s="94"/>
      <c r="E585" s="289" t="s">
        <v>812</v>
      </c>
      <c r="F585" s="100"/>
      <c r="G585" s="97"/>
      <c r="H585" s="42"/>
      <c r="I585" s="709"/>
      <c r="J585"/>
      <c r="K585"/>
      <c r="L585"/>
      <c r="Q585"/>
      <c r="U585" s="222"/>
    </row>
    <row r="586" spans="1:21" s="98" customFormat="1" ht="15" customHeight="1">
      <c r="A586" s="145"/>
      <c r="B586" s="35"/>
      <c r="C586" s="35"/>
      <c r="D586" s="94"/>
      <c r="E586" s="289"/>
      <c r="F586" s="100"/>
      <c r="G586" s="97"/>
      <c r="H586" s="42"/>
      <c r="I586" s="709"/>
      <c r="J586"/>
      <c r="K586"/>
      <c r="L586"/>
      <c r="Q586"/>
      <c r="U586" s="222"/>
    </row>
    <row r="587" spans="1:21" s="98" customFormat="1" ht="25.5">
      <c r="A587" s="145"/>
      <c r="B587" s="35"/>
      <c r="C587" s="35"/>
      <c r="D587" s="94"/>
      <c r="E587" s="77" t="s">
        <v>1316</v>
      </c>
      <c r="F587" s="212">
        <v>1</v>
      </c>
      <c r="G587" s="97"/>
      <c r="H587" s="42"/>
      <c r="I587" s="701"/>
      <c r="J587"/>
      <c r="K587"/>
      <c r="L587"/>
      <c r="Q587"/>
      <c r="U587" s="222"/>
    </row>
    <row r="588" spans="1:21" s="98" customFormat="1">
      <c r="A588" s="145"/>
      <c r="B588" s="35"/>
      <c r="C588" s="35"/>
      <c r="D588" s="94"/>
      <c r="E588" s="289" t="s">
        <v>817</v>
      </c>
      <c r="F588" s="100"/>
      <c r="G588" s="97"/>
      <c r="H588" s="42"/>
      <c r="I588" s="701"/>
      <c r="J588"/>
      <c r="K588"/>
      <c r="L588"/>
      <c r="Q588"/>
      <c r="U588" s="222"/>
    </row>
    <row r="589" spans="1:21" s="98" customFormat="1" ht="21">
      <c r="A589" s="145"/>
      <c r="B589" s="35"/>
      <c r="C589" s="35"/>
      <c r="D589" s="94"/>
      <c r="E589" s="289" t="s">
        <v>1317</v>
      </c>
      <c r="F589" s="100"/>
      <c r="G589" s="97"/>
      <c r="H589" s="42"/>
      <c r="I589" s="709"/>
      <c r="J589"/>
      <c r="K589"/>
      <c r="L589"/>
      <c r="Q589"/>
      <c r="U589" s="222"/>
    </row>
    <row r="590" spans="1:21" s="98" customFormat="1" ht="21">
      <c r="A590" s="145"/>
      <c r="B590" s="35"/>
      <c r="C590" s="35"/>
      <c r="D590" s="94"/>
      <c r="E590" s="289" t="s">
        <v>811</v>
      </c>
      <c r="F590" s="100"/>
      <c r="G590" s="97"/>
      <c r="H590" s="42"/>
      <c r="I590" s="709"/>
      <c r="J590"/>
      <c r="K590"/>
      <c r="L590"/>
      <c r="Q590"/>
      <c r="U590" s="222"/>
    </row>
    <row r="591" spans="1:21" s="98" customFormat="1" ht="21">
      <c r="A591" s="145"/>
      <c r="B591" s="35"/>
      <c r="C591" s="35"/>
      <c r="D591" s="94"/>
      <c r="E591" s="289" t="s">
        <v>812</v>
      </c>
      <c r="F591" s="100"/>
      <c r="G591" s="97"/>
      <c r="H591" s="42"/>
      <c r="I591" s="709"/>
      <c r="J591"/>
      <c r="K591"/>
      <c r="L591"/>
      <c r="Q591"/>
      <c r="U591" s="222"/>
    </row>
    <row r="592" spans="1:21" s="98" customFormat="1" ht="17.25" customHeight="1">
      <c r="A592" s="145"/>
      <c r="B592" s="35"/>
      <c r="C592" s="35"/>
      <c r="D592" s="94"/>
      <c r="E592" s="281" t="s">
        <v>41</v>
      </c>
      <c r="F592" s="264">
        <f>F581+F587</f>
        <v>2</v>
      </c>
      <c r="G592" s="97"/>
      <c r="H592" s="42"/>
      <c r="I592" s="709"/>
      <c r="J592"/>
      <c r="K592"/>
      <c r="L592"/>
      <c r="Q592"/>
      <c r="U592" s="222"/>
    </row>
    <row r="593" spans="1:21" s="98" customFormat="1" ht="21">
      <c r="A593" s="145"/>
      <c r="B593" s="35"/>
      <c r="C593" s="35"/>
      <c r="D593" s="94"/>
      <c r="E593" s="50"/>
      <c r="F593" s="100"/>
      <c r="G593" s="97"/>
      <c r="H593" s="42"/>
      <c r="I593" s="709"/>
      <c r="J593"/>
      <c r="K593"/>
      <c r="L593"/>
      <c r="Q593"/>
      <c r="U593" s="222"/>
    </row>
    <row r="594" spans="1:21" s="98" customFormat="1">
      <c r="A594" s="34">
        <f>MAX(A$1:A584)+1</f>
        <v>69</v>
      </c>
      <c r="B594" s="35"/>
      <c r="C594" s="36" t="s">
        <v>373</v>
      </c>
      <c r="D594" s="37"/>
      <c r="E594" s="38" t="s">
        <v>374</v>
      </c>
      <c r="F594" s="39"/>
      <c r="G594" s="40" t="s">
        <v>36</v>
      </c>
      <c r="H594" s="64">
        <v>956</v>
      </c>
      <c r="I594" s="695"/>
      <c r="J594"/>
      <c r="K594"/>
      <c r="L594"/>
      <c r="Q594"/>
      <c r="U594" s="222"/>
    </row>
    <row r="595" spans="1:21" s="98" customFormat="1">
      <c r="A595" s="145"/>
      <c r="B595" s="35"/>
      <c r="C595" s="36"/>
      <c r="D595" s="67" t="s">
        <v>375</v>
      </c>
      <c r="E595" s="71" t="s">
        <v>376</v>
      </c>
      <c r="F595" s="61"/>
      <c r="G595" s="62" t="s">
        <v>36</v>
      </c>
      <c r="H595" s="83">
        <v>836</v>
      </c>
      <c r="I595" s="208"/>
      <c r="J595"/>
      <c r="K595"/>
      <c r="L595"/>
      <c r="Q595"/>
      <c r="U595" s="222"/>
    </row>
    <row r="596" spans="1:21" s="98" customFormat="1" ht="39">
      <c r="A596" s="145"/>
      <c r="B596" s="35"/>
      <c r="C596" s="36"/>
      <c r="D596" s="37"/>
      <c r="E596" s="68" t="s">
        <v>1318</v>
      </c>
      <c r="F596" s="46">
        <v>790</v>
      </c>
      <c r="G596" s="40"/>
      <c r="H596" s="64"/>
      <c r="I596" s="208"/>
      <c r="J596"/>
      <c r="K596"/>
      <c r="L596"/>
      <c r="Q596"/>
      <c r="U596" s="222"/>
    </row>
    <row r="597" spans="1:21" s="98" customFormat="1" ht="39">
      <c r="A597" s="145"/>
      <c r="B597" s="35"/>
      <c r="C597" s="36"/>
      <c r="D597" s="37"/>
      <c r="E597" s="68" t="s">
        <v>1319</v>
      </c>
      <c r="F597" s="69">
        <v>46</v>
      </c>
      <c r="G597" s="40"/>
      <c r="H597" s="64"/>
      <c r="I597" s="208"/>
      <c r="J597"/>
      <c r="K597"/>
      <c r="L597"/>
      <c r="Q597"/>
      <c r="U597" s="222"/>
    </row>
    <row r="598" spans="1:21" s="98" customFormat="1">
      <c r="A598" s="145"/>
      <c r="B598" s="35"/>
      <c r="C598" s="36"/>
      <c r="D598" s="37"/>
      <c r="E598" s="68"/>
      <c r="F598" s="46">
        <f>SUM(F596:F597)</f>
        <v>836</v>
      </c>
      <c r="G598" s="40"/>
      <c r="H598" s="64"/>
      <c r="I598" s="208"/>
      <c r="J598"/>
      <c r="K598"/>
      <c r="L598"/>
      <c r="Q598"/>
      <c r="U598" s="222"/>
    </row>
    <row r="599" spans="1:21" s="98" customFormat="1">
      <c r="A599" s="145"/>
      <c r="B599" s="35"/>
      <c r="C599" s="66"/>
      <c r="D599" s="67" t="s">
        <v>1320</v>
      </c>
      <c r="E599" s="71" t="s">
        <v>1321</v>
      </c>
      <c r="F599" s="61"/>
      <c r="G599" s="62" t="s">
        <v>36</v>
      </c>
      <c r="H599" s="83">
        <v>120</v>
      </c>
      <c r="I599" s="208"/>
      <c r="J599"/>
      <c r="K599"/>
      <c r="L599"/>
      <c r="Q599"/>
      <c r="U599" s="222"/>
    </row>
    <row r="600" spans="1:21" s="98" customFormat="1" ht="25.5">
      <c r="A600" s="145"/>
      <c r="B600" s="35"/>
      <c r="C600" s="35"/>
      <c r="D600" s="94"/>
      <c r="E600" s="65" t="s">
        <v>1322</v>
      </c>
      <c r="F600" s="212">
        <v>120</v>
      </c>
      <c r="G600" s="97"/>
      <c r="H600" s="42"/>
      <c r="I600" s="208"/>
      <c r="J600"/>
      <c r="K600"/>
      <c r="L600"/>
      <c r="Q600"/>
      <c r="U600" s="222"/>
    </row>
    <row r="601" spans="1:21" s="98" customFormat="1">
      <c r="A601" s="145"/>
      <c r="B601" s="35"/>
      <c r="C601" s="35"/>
      <c r="D601" s="94"/>
      <c r="E601" s="65"/>
      <c r="F601" s="212"/>
      <c r="G601" s="97"/>
      <c r="H601" s="42"/>
      <c r="I601" s="208"/>
      <c r="J601"/>
      <c r="K601"/>
      <c r="L601"/>
      <c r="Q601"/>
      <c r="U601" s="222"/>
    </row>
    <row r="602" spans="1:21" s="98" customFormat="1">
      <c r="A602" s="34">
        <f>MAX(A$1:A601)+1</f>
        <v>70</v>
      </c>
      <c r="B602" s="35"/>
      <c r="C602" s="36" t="s">
        <v>377</v>
      </c>
      <c r="D602" s="37"/>
      <c r="E602" s="38" t="s">
        <v>378</v>
      </c>
      <c r="F602" s="39"/>
      <c r="G602" s="40" t="s">
        <v>36</v>
      </c>
      <c r="H602" s="64">
        <v>463</v>
      </c>
      <c r="I602" s="708"/>
      <c r="J602"/>
      <c r="K602"/>
      <c r="L602"/>
      <c r="Q602"/>
      <c r="U602" s="222"/>
    </row>
    <row r="603" spans="1:21" s="98" customFormat="1">
      <c r="A603" s="145"/>
      <c r="B603" s="35"/>
      <c r="C603" s="66"/>
      <c r="D603" s="67" t="s">
        <v>379</v>
      </c>
      <c r="E603" s="71" t="s">
        <v>380</v>
      </c>
      <c r="F603" s="61"/>
      <c r="G603" s="62" t="s">
        <v>36</v>
      </c>
      <c r="H603" s="83">
        <v>440</v>
      </c>
      <c r="I603" s="208"/>
      <c r="J603"/>
      <c r="K603"/>
      <c r="L603"/>
      <c r="Q603"/>
      <c r="U603" s="222"/>
    </row>
    <row r="604" spans="1:21" s="98" customFormat="1" ht="25.5">
      <c r="A604" s="145"/>
      <c r="B604" s="35"/>
      <c r="C604" s="66"/>
      <c r="D604" s="67"/>
      <c r="E604" s="65" t="s">
        <v>1323</v>
      </c>
      <c r="F604" s="212">
        <v>440</v>
      </c>
      <c r="G604" s="62"/>
      <c r="H604" s="83"/>
      <c r="I604" s="208"/>
      <c r="J604"/>
      <c r="K604"/>
      <c r="L604"/>
      <c r="Q604"/>
      <c r="U604" s="222"/>
    </row>
    <row r="605" spans="1:21" s="98" customFormat="1">
      <c r="A605" s="145"/>
      <c r="B605" s="35"/>
      <c r="C605" s="35"/>
      <c r="D605" s="67" t="s">
        <v>1324</v>
      </c>
      <c r="E605" s="71" t="s">
        <v>1325</v>
      </c>
      <c r="F605" s="61"/>
      <c r="G605" s="62" t="s">
        <v>36</v>
      </c>
      <c r="H605" s="99">
        <v>23</v>
      </c>
      <c r="I605" s="221"/>
      <c r="J605"/>
      <c r="K605"/>
      <c r="L605"/>
      <c r="Q605"/>
      <c r="U605" s="222"/>
    </row>
    <row r="606" spans="1:21" s="98" customFormat="1" ht="25.5">
      <c r="A606" s="145"/>
      <c r="B606" s="35"/>
      <c r="C606" s="35"/>
      <c r="D606" s="67"/>
      <c r="E606" s="65" t="s">
        <v>1326</v>
      </c>
      <c r="F606" s="46">
        <v>23</v>
      </c>
      <c r="G606" s="62"/>
      <c r="H606" s="42"/>
      <c r="I606" s="693"/>
      <c r="J606"/>
      <c r="K606"/>
      <c r="L606"/>
      <c r="Q606"/>
      <c r="U606" s="222"/>
    </row>
    <row r="607" spans="1:21" s="98" customFormat="1">
      <c r="A607" s="145"/>
      <c r="B607" s="35"/>
      <c r="C607" s="35"/>
      <c r="D607" s="94"/>
      <c r="E607" s="65"/>
      <c r="F607" s="212"/>
      <c r="G607" s="97"/>
      <c r="H607" s="42"/>
      <c r="I607" s="693"/>
      <c r="J607"/>
      <c r="K607"/>
      <c r="L607"/>
      <c r="Q607"/>
      <c r="U607" s="222"/>
    </row>
    <row r="608" spans="1:21" s="98" customFormat="1" ht="25.5">
      <c r="A608" s="34">
        <f>MAX(A$1:A607)+1</f>
        <v>71</v>
      </c>
      <c r="B608" s="43"/>
      <c r="C608" s="36" t="s">
        <v>381</v>
      </c>
      <c r="D608" s="37"/>
      <c r="E608" s="38" t="s">
        <v>382</v>
      </c>
      <c r="F608" s="39"/>
      <c r="G608" s="40" t="s">
        <v>36</v>
      </c>
      <c r="H608" s="52">
        <v>25</v>
      </c>
      <c r="I608" s="708"/>
      <c r="J608"/>
      <c r="K608"/>
      <c r="L608"/>
      <c r="Q608"/>
      <c r="U608" s="222"/>
    </row>
    <row r="609" spans="1:21" s="98" customFormat="1" ht="25.5">
      <c r="A609" s="72"/>
      <c r="B609" s="73"/>
      <c r="C609" s="66"/>
      <c r="D609" s="67" t="s">
        <v>1327</v>
      </c>
      <c r="E609" s="71" t="s">
        <v>1328</v>
      </c>
      <c r="F609" s="61"/>
      <c r="G609" s="62" t="s">
        <v>36</v>
      </c>
      <c r="H609" s="99">
        <v>3</v>
      </c>
      <c r="I609" s="693"/>
      <c r="J609"/>
      <c r="K609"/>
      <c r="L609"/>
      <c r="Q609"/>
      <c r="U609" s="222"/>
    </row>
    <row r="610" spans="1:21" s="98" customFormat="1">
      <c r="A610" s="72"/>
      <c r="B610" s="73"/>
      <c r="C610" s="66"/>
      <c r="D610" s="67"/>
      <c r="E610" s="65" t="s">
        <v>1329</v>
      </c>
      <c r="F610" s="46">
        <v>3</v>
      </c>
      <c r="G610" s="62"/>
      <c r="H610" s="42"/>
      <c r="I610" s="221"/>
      <c r="J610"/>
      <c r="K610"/>
      <c r="L610"/>
      <c r="Q610"/>
      <c r="U610" s="222"/>
    </row>
    <row r="611" spans="1:21" s="98" customFormat="1" ht="25.5">
      <c r="A611" s="72"/>
      <c r="B611" s="73"/>
      <c r="C611" s="66"/>
      <c r="D611" s="67" t="s">
        <v>383</v>
      </c>
      <c r="E611" s="71" t="s">
        <v>384</v>
      </c>
      <c r="F611" s="61"/>
      <c r="G611" s="62" t="s">
        <v>36</v>
      </c>
      <c r="H611" s="99">
        <v>22</v>
      </c>
      <c r="I611" s="221"/>
      <c r="J611"/>
      <c r="K611"/>
      <c r="L611"/>
      <c r="Q611"/>
      <c r="U611" s="222"/>
    </row>
    <row r="612" spans="1:21" s="98" customFormat="1">
      <c r="A612" s="145"/>
      <c r="B612" s="35"/>
      <c r="C612" s="35"/>
      <c r="D612" s="94"/>
      <c r="E612" s="65" t="s">
        <v>1330</v>
      </c>
      <c r="F612" s="212">
        <v>22</v>
      </c>
      <c r="G612" s="97"/>
      <c r="H612" s="42"/>
      <c r="I612" s="221"/>
      <c r="J612"/>
      <c r="K612"/>
      <c r="L612"/>
      <c r="Q612"/>
      <c r="U612" s="222"/>
    </row>
    <row r="613" spans="1:21" s="98" customFormat="1">
      <c r="A613" s="145"/>
      <c r="B613" s="35"/>
      <c r="C613" s="35"/>
      <c r="D613" s="94"/>
      <c r="E613" s="65"/>
      <c r="F613" s="212"/>
      <c r="G613" s="97"/>
      <c r="H613" s="42"/>
      <c r="I613" s="221"/>
      <c r="J613"/>
      <c r="K613"/>
      <c r="L613"/>
      <c r="Q613"/>
      <c r="U613" s="222"/>
    </row>
    <row r="614" spans="1:21" s="98" customFormat="1" ht="25.5">
      <c r="A614" s="220">
        <f>MAX(A$1:A604)+1</f>
        <v>71</v>
      </c>
      <c r="B614" s="43"/>
      <c r="C614" s="36" t="s">
        <v>304</v>
      </c>
      <c r="D614" s="37"/>
      <c r="E614" s="38" t="s">
        <v>305</v>
      </c>
      <c r="F614" s="39"/>
      <c r="G614" s="40" t="s">
        <v>21</v>
      </c>
      <c r="H614" s="52">
        <v>590</v>
      </c>
      <c r="I614" s="208"/>
      <c r="J614"/>
      <c r="K614"/>
      <c r="L614"/>
      <c r="Q614"/>
      <c r="U614" s="222"/>
    </row>
    <row r="615" spans="1:21" s="98" customFormat="1" ht="25.5">
      <c r="A615" s="178"/>
      <c r="B615" s="217"/>
      <c r="C615" s="217"/>
      <c r="D615" s="67" t="s">
        <v>306</v>
      </c>
      <c r="E615" s="71" t="s">
        <v>307</v>
      </c>
      <c r="F615" s="61"/>
      <c r="G615" s="218" t="s">
        <v>21</v>
      </c>
      <c r="H615" s="99">
        <v>590</v>
      </c>
      <c r="I615" s="208"/>
      <c r="J615"/>
      <c r="K615"/>
      <c r="L615"/>
      <c r="Q615"/>
      <c r="U615" s="222"/>
    </row>
    <row r="616" spans="1:21" s="98" customFormat="1" ht="25.5">
      <c r="A616" s="72"/>
      <c r="B616" s="73"/>
      <c r="C616" s="66"/>
      <c r="D616" s="67"/>
      <c r="E616" s="65" t="s">
        <v>1069</v>
      </c>
      <c r="F616" s="46">
        <v>590</v>
      </c>
      <c r="G616" s="62"/>
      <c r="H616" s="42"/>
      <c r="I616" s="208"/>
      <c r="J616"/>
      <c r="K616"/>
      <c r="L616"/>
      <c r="Q616"/>
      <c r="U616" s="222"/>
    </row>
    <row r="617" spans="1:21" s="98" customFormat="1">
      <c r="A617" s="105"/>
      <c r="B617" s="73"/>
      <c r="C617" s="66"/>
      <c r="D617" s="67"/>
      <c r="E617" s="65"/>
      <c r="F617" s="46"/>
      <c r="G617" s="62"/>
      <c r="H617" s="42"/>
      <c r="I617" s="208"/>
      <c r="J617"/>
      <c r="K617"/>
      <c r="L617"/>
      <c r="Q617"/>
      <c r="U617" s="222"/>
    </row>
    <row r="618" spans="1:21" s="98" customFormat="1" ht="25.5">
      <c r="A618" s="220">
        <f>MAX(A$1:A615)+1</f>
        <v>72</v>
      </c>
      <c r="B618" s="73"/>
      <c r="C618" s="36" t="s">
        <v>1331</v>
      </c>
      <c r="D618" s="37"/>
      <c r="E618" s="38" t="s">
        <v>725</v>
      </c>
      <c r="F618" s="39"/>
      <c r="G618" s="40" t="s">
        <v>33</v>
      </c>
      <c r="H618" s="52">
        <v>2</v>
      </c>
      <c r="I618" s="208"/>
      <c r="J618"/>
      <c r="K618"/>
      <c r="L618"/>
      <c r="Q618"/>
      <c r="U618" s="222"/>
    </row>
    <row r="619" spans="1:21" s="98" customFormat="1" ht="25.5">
      <c r="A619" s="105"/>
      <c r="B619" s="73"/>
      <c r="C619" s="66"/>
      <c r="D619" s="67" t="s">
        <v>1332</v>
      </c>
      <c r="E619" s="71" t="s">
        <v>1333</v>
      </c>
      <c r="F619" s="61"/>
      <c r="G619" s="62" t="s">
        <v>33</v>
      </c>
      <c r="H619" s="99">
        <v>2</v>
      </c>
      <c r="I619" s="208"/>
      <c r="J619"/>
      <c r="K619"/>
      <c r="L619"/>
      <c r="Q619"/>
      <c r="U619" s="222"/>
    </row>
    <row r="620" spans="1:21" s="98" customFormat="1" ht="25.5">
      <c r="A620" s="105"/>
      <c r="B620" s="73"/>
      <c r="C620" s="66"/>
      <c r="D620" s="67"/>
      <c r="E620" s="77" t="s">
        <v>1334</v>
      </c>
      <c r="F620" s="46">
        <v>2</v>
      </c>
      <c r="G620" s="62"/>
      <c r="H620" s="42"/>
      <c r="I620" s="208"/>
      <c r="J620"/>
      <c r="K620"/>
      <c r="L620"/>
      <c r="Q620"/>
      <c r="U620" s="222"/>
    </row>
    <row r="621" spans="1:21" s="98" customFormat="1">
      <c r="A621" s="105"/>
      <c r="B621" s="73"/>
      <c r="C621" s="66"/>
      <c r="D621" s="67"/>
      <c r="E621" s="71"/>
      <c r="F621" s="61"/>
      <c r="G621" s="62"/>
      <c r="H621" s="42"/>
      <c r="I621" s="208"/>
      <c r="J621"/>
      <c r="K621"/>
      <c r="L621"/>
      <c r="Q621"/>
      <c r="U621" s="222"/>
    </row>
    <row r="622" spans="1:21" ht="25.5">
      <c r="A622" s="105"/>
      <c r="B622" s="35" t="s">
        <v>270</v>
      </c>
      <c r="C622" s="35"/>
      <c r="D622" s="94"/>
      <c r="E622" s="211" t="s">
        <v>271</v>
      </c>
      <c r="F622" s="46"/>
      <c r="G622" s="62"/>
      <c r="H622" s="74"/>
    </row>
    <row r="623" spans="1:21">
      <c r="A623" s="105"/>
      <c r="B623" s="35"/>
      <c r="C623" s="35"/>
      <c r="D623" s="94"/>
      <c r="E623" s="211"/>
      <c r="F623" s="46"/>
      <c r="G623" s="62"/>
      <c r="H623" s="74"/>
    </row>
    <row r="624" spans="1:21" ht="25.5">
      <c r="A624" s="34">
        <f>MAX(A$1:A623)+1</f>
        <v>73</v>
      </c>
      <c r="B624" s="35"/>
      <c r="C624" s="36" t="s">
        <v>385</v>
      </c>
      <c r="D624" s="37"/>
      <c r="E624" s="38" t="s">
        <v>386</v>
      </c>
      <c r="F624" s="39"/>
      <c r="G624" s="40" t="s">
        <v>18</v>
      </c>
      <c r="H624" s="52">
        <v>603.84999999999991</v>
      </c>
      <c r="I624" s="695"/>
    </row>
    <row r="625" spans="1:12" ht="25.5">
      <c r="A625" s="105"/>
      <c r="B625" s="35"/>
      <c r="C625" s="35"/>
      <c r="D625" s="94"/>
      <c r="E625" s="65" t="s">
        <v>1335</v>
      </c>
      <c r="F625" s="46">
        <f>0.2*380</f>
        <v>76</v>
      </c>
      <c r="G625" s="62"/>
      <c r="H625" s="74"/>
    </row>
    <row r="626" spans="1:12" ht="25.5">
      <c r="A626" s="105"/>
      <c r="B626" s="35"/>
      <c r="C626" s="35"/>
      <c r="D626" s="94"/>
      <c r="E626" s="65" t="s">
        <v>1336</v>
      </c>
      <c r="F626" s="46">
        <f>0.2*70</f>
        <v>14</v>
      </c>
      <c r="G626" s="62"/>
      <c r="H626" s="74"/>
    </row>
    <row r="627" spans="1:12" ht="25.5">
      <c r="A627" s="105"/>
      <c r="B627" s="35"/>
      <c r="C627" s="35"/>
      <c r="D627" s="94"/>
      <c r="E627" s="65" t="s">
        <v>1337</v>
      </c>
      <c r="F627" s="46">
        <f>0.2*245</f>
        <v>49</v>
      </c>
      <c r="G627" s="62"/>
      <c r="H627" s="74"/>
    </row>
    <row r="628" spans="1:12" ht="25.5">
      <c r="A628" s="105"/>
      <c r="B628" s="35"/>
      <c r="C628" s="35"/>
      <c r="D628" s="94"/>
      <c r="E628" s="65" t="s">
        <v>1338</v>
      </c>
      <c r="F628" s="46">
        <f>0.15*1656</f>
        <v>248.39999999999998</v>
      </c>
      <c r="G628" s="62"/>
      <c r="H628" s="74"/>
    </row>
    <row r="629" spans="1:12" ht="25.5">
      <c r="A629" s="105"/>
      <c r="B629" s="35"/>
      <c r="C629" s="35"/>
      <c r="D629" s="94"/>
      <c r="E629" s="65" t="s">
        <v>1339</v>
      </c>
      <c r="F629" s="46">
        <f>0.15*1233</f>
        <v>184.95</v>
      </c>
      <c r="G629" s="62"/>
      <c r="H629" s="74"/>
    </row>
    <row r="630" spans="1:12" ht="25.5">
      <c r="A630" s="105"/>
      <c r="B630" s="35"/>
      <c r="C630" s="35"/>
      <c r="D630" s="94"/>
      <c r="E630" s="65" t="s">
        <v>1340</v>
      </c>
      <c r="F630" s="69">
        <f>0.15*210</f>
        <v>31.5</v>
      </c>
      <c r="G630" s="62"/>
      <c r="H630" s="74"/>
    </row>
    <row r="631" spans="1:12">
      <c r="A631" s="105"/>
      <c r="B631" s="35"/>
      <c r="C631" s="35"/>
      <c r="D631" s="94"/>
      <c r="E631" s="65"/>
      <c r="F631" s="46">
        <f>SUM(F625:F630)</f>
        <v>603.84999999999991</v>
      </c>
      <c r="G631" s="62"/>
      <c r="H631" s="74"/>
      <c r="L631" s="120"/>
    </row>
    <row r="632" spans="1:12">
      <c r="A632" s="105"/>
      <c r="B632" s="35"/>
      <c r="C632" s="35"/>
      <c r="D632" s="94"/>
      <c r="E632" s="65"/>
      <c r="F632" s="46"/>
      <c r="G632" s="62"/>
      <c r="H632" s="74"/>
      <c r="L632" s="120"/>
    </row>
    <row r="633" spans="1:12" ht="25.5">
      <c r="A633" s="34">
        <f>MAX(A$1:A632)+1</f>
        <v>74</v>
      </c>
      <c r="B633" s="35"/>
      <c r="C633" s="36" t="s">
        <v>310</v>
      </c>
      <c r="D633" s="37"/>
      <c r="E633" s="38" t="s">
        <v>311</v>
      </c>
      <c r="F633" s="39"/>
      <c r="G633" s="40" t="s">
        <v>18</v>
      </c>
      <c r="H633" s="44">
        <v>42.75</v>
      </c>
      <c r="I633" s="695"/>
      <c r="L633" s="120"/>
    </row>
    <row r="634" spans="1:12" ht="25.5">
      <c r="A634" s="105"/>
      <c r="B634" s="35"/>
      <c r="C634" s="35"/>
      <c r="D634" s="94"/>
      <c r="E634" s="65" t="s">
        <v>1341</v>
      </c>
      <c r="F634" s="46">
        <f>0.15*70</f>
        <v>10.5</v>
      </c>
      <c r="G634" s="62"/>
      <c r="H634" s="74"/>
      <c r="L634" s="120"/>
    </row>
    <row r="635" spans="1:12" ht="38.25">
      <c r="A635" s="105"/>
      <c r="B635" s="35"/>
      <c r="C635" s="35"/>
      <c r="D635" s="94"/>
      <c r="E635" s="65" t="s">
        <v>1342</v>
      </c>
      <c r="F635" s="69">
        <f>0.15*215</f>
        <v>32.25</v>
      </c>
      <c r="G635" s="62"/>
      <c r="H635" s="74"/>
      <c r="L635" s="120"/>
    </row>
    <row r="636" spans="1:12">
      <c r="A636" s="105"/>
      <c r="B636" s="35"/>
      <c r="C636" s="35"/>
      <c r="D636" s="94"/>
      <c r="E636" s="65"/>
      <c r="F636" s="46">
        <f>SUM(F634:F635)</f>
        <v>42.75</v>
      </c>
      <c r="G636" s="62"/>
      <c r="H636" s="74"/>
      <c r="L636" s="120"/>
    </row>
    <row r="637" spans="1:12">
      <c r="A637" s="105"/>
      <c r="B637" s="35"/>
      <c r="C637" s="35"/>
      <c r="D637" s="94"/>
      <c r="E637" s="65"/>
      <c r="F637" s="46"/>
      <c r="G637" s="62"/>
      <c r="H637" s="74"/>
      <c r="L637" s="120"/>
    </row>
    <row r="638" spans="1:12" ht="25.5">
      <c r="A638" s="34">
        <f>MAX(A$1:A637)+1</f>
        <v>75</v>
      </c>
      <c r="B638" s="35"/>
      <c r="C638" s="36" t="s">
        <v>430</v>
      </c>
      <c r="D638" s="37"/>
      <c r="E638" s="38" t="s">
        <v>431</v>
      </c>
      <c r="F638" s="39"/>
      <c r="G638" s="40" t="s">
        <v>18</v>
      </c>
      <c r="H638" s="64">
        <v>463.76</v>
      </c>
    </row>
    <row r="639" spans="1:12" ht="38.25">
      <c r="A639" s="145"/>
      <c r="B639" s="35"/>
      <c r="C639" s="36"/>
      <c r="D639" s="67" t="s">
        <v>1077</v>
      </c>
      <c r="E639" s="71" t="s">
        <v>1078</v>
      </c>
      <c r="F639" s="61"/>
      <c r="G639" s="62" t="s">
        <v>18</v>
      </c>
      <c r="H639" s="83">
        <v>368.76</v>
      </c>
    </row>
    <row r="640" spans="1:12" ht="25.5">
      <c r="A640" s="145"/>
      <c r="B640" s="35"/>
      <c r="C640" s="36"/>
      <c r="D640" s="37"/>
      <c r="E640" s="65" t="s">
        <v>1343</v>
      </c>
      <c r="F640" s="46">
        <f>0.12*1840</f>
        <v>220.79999999999998</v>
      </c>
      <c r="G640" s="40"/>
      <c r="H640" s="64"/>
    </row>
    <row r="641" spans="1:12" ht="25.5">
      <c r="A641" s="145"/>
      <c r="B641" s="35"/>
      <c r="C641" s="36"/>
      <c r="D641" s="37"/>
      <c r="E641" s="65" t="s">
        <v>1344</v>
      </c>
      <c r="F641" s="69">
        <f>0.12*1233</f>
        <v>147.96</v>
      </c>
      <c r="G641" s="40"/>
      <c r="H641" s="64"/>
    </row>
    <row r="642" spans="1:12">
      <c r="A642" s="145"/>
      <c r="B642" s="35"/>
      <c r="C642" s="36"/>
      <c r="D642" s="37"/>
      <c r="E642" s="65"/>
      <c r="F642" s="46">
        <f>SUM(F640:F641)</f>
        <v>368.76</v>
      </c>
      <c r="G642" s="40"/>
      <c r="H642" s="64"/>
    </row>
    <row r="643" spans="1:12" ht="39">
      <c r="A643" s="105"/>
      <c r="B643" s="35"/>
      <c r="C643" s="35"/>
      <c r="D643" s="67" t="s">
        <v>1082</v>
      </c>
      <c r="E643" s="61" t="s">
        <v>1083</v>
      </c>
      <c r="F643" s="61"/>
      <c r="G643" s="62" t="s">
        <v>18</v>
      </c>
      <c r="H643" s="83">
        <v>95</v>
      </c>
    </row>
    <row r="644" spans="1:12" ht="25.5">
      <c r="A644" s="105"/>
      <c r="B644" s="35"/>
      <c r="C644" s="35"/>
      <c r="D644" s="94"/>
      <c r="E644" s="65" t="s">
        <v>1345</v>
      </c>
      <c r="F644" s="46">
        <f>0.25*380</f>
        <v>95</v>
      </c>
      <c r="G644" s="62"/>
      <c r="H644" s="74"/>
    </row>
    <row r="645" spans="1:12">
      <c r="A645" s="105"/>
      <c r="B645" s="35"/>
      <c r="C645" s="35"/>
      <c r="D645" s="94"/>
      <c r="E645" s="65"/>
      <c r="F645" s="46"/>
      <c r="G645" s="62"/>
      <c r="H645" s="74"/>
      <c r="L645" s="120"/>
    </row>
    <row r="646" spans="1:12" ht="25.5">
      <c r="A646" s="34">
        <f>MAX(A$1:A645)+1</f>
        <v>76</v>
      </c>
      <c r="B646" s="35"/>
      <c r="C646" s="36" t="s">
        <v>312</v>
      </c>
      <c r="D646" s="37"/>
      <c r="E646" s="38" t="s">
        <v>313</v>
      </c>
      <c r="F646" s="39"/>
      <c r="G646" s="40" t="s">
        <v>21</v>
      </c>
      <c r="H646" s="64">
        <v>2555</v>
      </c>
    </row>
    <row r="647" spans="1:12" ht="25.5">
      <c r="A647" s="145"/>
      <c r="B647" s="35"/>
      <c r="C647" s="36"/>
      <c r="D647" s="67" t="s">
        <v>613</v>
      </c>
      <c r="E647" s="71" t="s">
        <v>1085</v>
      </c>
      <c r="F647" s="61"/>
      <c r="G647" s="62" t="s">
        <v>21</v>
      </c>
      <c r="H647" s="83">
        <v>2175</v>
      </c>
    </row>
    <row r="648" spans="1:12">
      <c r="A648" s="145"/>
      <c r="B648" s="35"/>
      <c r="C648" s="36"/>
      <c r="D648" s="37"/>
      <c r="E648" s="65" t="s">
        <v>1346</v>
      </c>
      <c r="F648" s="90">
        <v>120</v>
      </c>
      <c r="G648" s="40"/>
      <c r="H648" s="64"/>
    </row>
    <row r="649" spans="1:12">
      <c r="A649" s="145"/>
      <c r="B649" s="35"/>
      <c r="C649" s="36"/>
      <c r="D649" s="37"/>
      <c r="E649" s="65" t="s">
        <v>1086</v>
      </c>
      <c r="F649" s="90">
        <v>215</v>
      </c>
      <c r="G649" s="40"/>
      <c r="H649" s="64"/>
    </row>
    <row r="650" spans="1:12">
      <c r="A650" s="145"/>
      <c r="B650" s="35"/>
      <c r="C650" s="36"/>
      <c r="D650" s="37"/>
      <c r="E650" s="65" t="s">
        <v>1087</v>
      </c>
      <c r="F650" s="138">
        <v>1840</v>
      </c>
      <c r="G650" s="40"/>
      <c r="H650" s="64"/>
    </row>
    <row r="651" spans="1:12">
      <c r="A651" s="145"/>
      <c r="B651" s="35"/>
      <c r="C651" s="36"/>
      <c r="D651" s="37"/>
      <c r="E651" s="65"/>
      <c r="F651" s="90">
        <f>SUM(F648:F650)</f>
        <v>2175</v>
      </c>
      <c r="G651" s="40"/>
      <c r="H651" s="64"/>
    </row>
    <row r="652" spans="1:12" ht="38.25">
      <c r="A652" s="105"/>
      <c r="B652" s="35"/>
      <c r="C652" s="66"/>
      <c r="D652" s="67" t="s">
        <v>1088</v>
      </c>
      <c r="E652" s="71" t="s">
        <v>1089</v>
      </c>
      <c r="F652" s="61"/>
      <c r="G652" s="62" t="s">
        <v>21</v>
      </c>
      <c r="H652" s="83">
        <v>380</v>
      </c>
    </row>
    <row r="653" spans="1:12">
      <c r="A653" s="105"/>
      <c r="B653" s="35"/>
      <c r="C653" s="35"/>
      <c r="D653" s="94"/>
      <c r="E653" s="65" t="s">
        <v>1090</v>
      </c>
      <c r="F653" s="46">
        <v>380</v>
      </c>
      <c r="G653" s="62"/>
      <c r="H653" s="74"/>
    </row>
    <row r="654" spans="1:12">
      <c r="A654" s="105"/>
      <c r="B654" s="35"/>
      <c r="C654" s="35"/>
      <c r="D654" s="94"/>
      <c r="E654" s="65"/>
      <c r="F654" s="46"/>
      <c r="G654" s="62"/>
      <c r="H654" s="74"/>
    </row>
    <row r="655" spans="1:12" ht="25.5">
      <c r="A655" s="34">
        <f>MAX(A$1:A654)+1</f>
        <v>77</v>
      </c>
      <c r="B655" s="35"/>
      <c r="C655" s="36" t="s">
        <v>314</v>
      </c>
      <c r="D655" s="37"/>
      <c r="E655" s="38" t="s">
        <v>315</v>
      </c>
      <c r="F655" s="39"/>
      <c r="G655" s="40" t="s">
        <v>18</v>
      </c>
      <c r="H655" s="52">
        <v>10.75</v>
      </c>
    </row>
    <row r="656" spans="1:12" ht="38.25">
      <c r="A656" s="105"/>
      <c r="B656" s="35"/>
      <c r="C656" s="66"/>
      <c r="D656" s="67" t="s">
        <v>316</v>
      </c>
      <c r="E656" s="71" t="s">
        <v>317</v>
      </c>
      <c r="F656" s="61"/>
      <c r="G656" s="62" t="s">
        <v>18</v>
      </c>
      <c r="H656" s="99">
        <v>10.75</v>
      </c>
    </row>
    <row r="657" spans="1:9" ht="26.25">
      <c r="A657" s="105"/>
      <c r="B657" s="35"/>
      <c r="C657" s="35"/>
      <c r="D657" s="94"/>
      <c r="E657" s="68" t="s">
        <v>1347</v>
      </c>
      <c r="F657" s="46">
        <f>0.05*215</f>
        <v>10.75</v>
      </c>
      <c r="G657" s="62"/>
      <c r="H657" s="74"/>
    </row>
    <row r="658" spans="1:9">
      <c r="A658" s="105"/>
      <c r="B658" s="35"/>
      <c r="C658" s="35"/>
      <c r="D658" s="94"/>
      <c r="E658" s="65"/>
      <c r="F658" s="46"/>
      <c r="G658" s="62"/>
      <c r="H658" s="74"/>
    </row>
    <row r="659" spans="1:9" ht="25.5">
      <c r="A659" s="34">
        <f>MAX(A$1:A658)+1</f>
        <v>78</v>
      </c>
      <c r="B659" s="35"/>
      <c r="C659" s="36" t="s">
        <v>576</v>
      </c>
      <c r="D659" s="37"/>
      <c r="E659" s="38" t="s">
        <v>577</v>
      </c>
      <c r="F659" s="39"/>
      <c r="G659" s="40" t="s">
        <v>36</v>
      </c>
      <c r="H659" s="52">
        <v>30.1</v>
      </c>
      <c r="I659" s="695"/>
    </row>
    <row r="660" spans="1:9" ht="25.5">
      <c r="A660" s="105"/>
      <c r="B660" s="35"/>
      <c r="C660" s="66"/>
      <c r="D660" s="67" t="s">
        <v>754</v>
      </c>
      <c r="E660" s="71" t="s">
        <v>755</v>
      </c>
      <c r="F660" s="61"/>
      <c r="G660" s="62" t="s">
        <v>36</v>
      </c>
      <c r="H660" s="99">
        <v>30.1</v>
      </c>
    </row>
    <row r="661" spans="1:9">
      <c r="A661" s="105"/>
      <c r="B661" s="35"/>
      <c r="C661" s="66"/>
      <c r="D661" s="67"/>
      <c r="E661" s="65" t="s">
        <v>1348</v>
      </c>
      <c r="F661" s="46">
        <f>2.55*2</f>
        <v>5.0999999999999996</v>
      </c>
      <c r="G661" s="62"/>
      <c r="H661" s="74"/>
    </row>
    <row r="662" spans="1:9">
      <c r="A662" s="105"/>
      <c r="B662" s="35"/>
      <c r="C662" s="66"/>
      <c r="D662" s="67"/>
      <c r="E662" s="65" t="s">
        <v>1349</v>
      </c>
      <c r="F662" s="69">
        <f>1*4</f>
        <v>4</v>
      </c>
      <c r="G662" s="62"/>
      <c r="H662" s="74"/>
    </row>
    <row r="663" spans="1:9">
      <c r="A663" s="105"/>
      <c r="B663" s="35"/>
      <c r="C663" s="66"/>
      <c r="D663" s="67"/>
      <c r="E663" s="65"/>
      <c r="F663" s="46">
        <f>SUM(F661:F662)</f>
        <v>9.1</v>
      </c>
      <c r="G663" s="62"/>
      <c r="H663" s="74"/>
    </row>
    <row r="664" spans="1:9">
      <c r="A664" s="105"/>
      <c r="B664" s="35"/>
      <c r="C664" s="66"/>
      <c r="D664" s="67"/>
      <c r="E664" s="65"/>
      <c r="F664" s="46"/>
      <c r="G664" s="62"/>
      <c r="H664" s="74"/>
    </row>
    <row r="665" spans="1:9">
      <c r="A665" s="105"/>
      <c r="B665" s="35"/>
      <c r="C665" s="66"/>
      <c r="D665" s="67"/>
      <c r="E665" s="168" t="s">
        <v>1350</v>
      </c>
      <c r="F665" s="170">
        <f>16+5</f>
        <v>21</v>
      </c>
      <c r="G665" s="62"/>
      <c r="H665" s="74"/>
    </row>
    <row r="666" spans="1:9">
      <c r="A666" s="105"/>
      <c r="B666" s="35"/>
      <c r="C666" s="66"/>
      <c r="D666" s="67"/>
      <c r="E666" s="91" t="s">
        <v>41</v>
      </c>
      <c r="F666" s="123">
        <f>F663+F665</f>
        <v>30.1</v>
      </c>
      <c r="G666" s="62"/>
      <c r="H666" s="74"/>
    </row>
    <row r="667" spans="1:9">
      <c r="A667" s="105"/>
      <c r="B667" s="35"/>
      <c r="C667" s="66"/>
      <c r="D667" s="67"/>
      <c r="E667" s="91"/>
      <c r="F667" s="123"/>
      <c r="G667" s="62"/>
      <c r="H667" s="74"/>
    </row>
    <row r="668" spans="1:9" ht="25.5">
      <c r="A668" s="105"/>
      <c r="B668" s="35" t="s">
        <v>129</v>
      </c>
      <c r="C668" s="35"/>
      <c r="D668" s="94"/>
      <c r="E668" s="50" t="s">
        <v>130</v>
      </c>
      <c r="F668" s="123"/>
      <c r="G668" s="62"/>
      <c r="H668" s="74"/>
    </row>
    <row r="669" spans="1:9">
      <c r="A669" s="105"/>
      <c r="B669" s="35"/>
      <c r="C669" s="66"/>
      <c r="D669" s="67"/>
      <c r="E669" s="91"/>
      <c r="F669" s="123"/>
      <c r="G669" s="62"/>
      <c r="H669" s="74"/>
    </row>
    <row r="670" spans="1:9">
      <c r="A670" s="34">
        <f>MAX(A$1:A669)+1</f>
        <v>79</v>
      </c>
      <c r="B670" s="35"/>
      <c r="C670" s="36" t="s">
        <v>759</v>
      </c>
      <c r="D670" s="66"/>
      <c r="E670" s="38" t="s">
        <v>760</v>
      </c>
      <c r="F670" s="39"/>
      <c r="G670" s="40" t="s">
        <v>21</v>
      </c>
      <c r="H670" s="44">
        <v>0.5</v>
      </c>
    </row>
    <row r="671" spans="1:9" ht="25.5">
      <c r="A671" s="105"/>
      <c r="B671" s="35"/>
      <c r="C671" s="66"/>
      <c r="D671" s="67"/>
      <c r="E671" s="77" t="s">
        <v>1351</v>
      </c>
      <c r="F671" s="46">
        <f>3.14*0.08*0.08*25</f>
        <v>0.50240000000000007</v>
      </c>
      <c r="G671" s="62"/>
      <c r="H671" s="74"/>
    </row>
    <row r="672" spans="1:9">
      <c r="A672" s="105"/>
      <c r="B672" s="35"/>
      <c r="C672" s="66"/>
      <c r="D672" s="67"/>
      <c r="E672" s="65"/>
      <c r="F672" s="46"/>
      <c r="G672" s="62"/>
      <c r="H672" s="74"/>
    </row>
    <row r="673" spans="1:12">
      <c r="A673" s="105"/>
      <c r="B673" s="35" t="s">
        <v>408</v>
      </c>
      <c r="C673" s="35"/>
      <c r="D673" s="94"/>
      <c r="E673" s="50" t="s">
        <v>409</v>
      </c>
      <c r="F673" s="46"/>
      <c r="G673" s="62"/>
      <c r="H673" s="74"/>
    </row>
    <row r="674" spans="1:12">
      <c r="A674" s="105"/>
      <c r="B674" s="35"/>
      <c r="C674" s="66"/>
      <c r="D674" s="67"/>
      <c r="E674" s="65"/>
      <c r="F674" s="46"/>
      <c r="G674" s="62"/>
      <c r="H674" s="74"/>
    </row>
    <row r="675" spans="1:12" ht="25.5">
      <c r="A675" s="34">
        <f>MAX(A$1:A674)+1</f>
        <v>80</v>
      </c>
      <c r="B675" s="35"/>
      <c r="C675" s="36" t="s">
        <v>410</v>
      </c>
      <c r="D675" s="37"/>
      <c r="E675" s="38" t="s">
        <v>411</v>
      </c>
      <c r="F675" s="39"/>
      <c r="G675" s="40" t="s">
        <v>21</v>
      </c>
      <c r="H675" s="52">
        <v>18</v>
      </c>
    </row>
    <row r="676" spans="1:12" ht="25.5">
      <c r="A676" s="105"/>
      <c r="B676" s="35"/>
      <c r="C676" s="66"/>
      <c r="D676" s="67" t="s">
        <v>414</v>
      </c>
      <c r="E676" s="71" t="s">
        <v>415</v>
      </c>
      <c r="F676" s="61"/>
      <c r="G676" s="62" t="s">
        <v>21</v>
      </c>
      <c r="H676" s="99">
        <v>18</v>
      </c>
    </row>
    <row r="677" spans="1:12">
      <c r="A677" s="105"/>
      <c r="B677" s="35"/>
      <c r="C677" s="66"/>
      <c r="D677" s="67"/>
      <c r="E677" s="84" t="s">
        <v>1352</v>
      </c>
      <c r="F677" s="61"/>
      <c r="G677" s="62"/>
      <c r="H677" s="74"/>
    </row>
    <row r="678" spans="1:12" ht="25.5">
      <c r="A678" s="105"/>
      <c r="B678" s="35"/>
      <c r="C678" s="66"/>
      <c r="D678" s="67"/>
      <c r="E678" s="65" t="s">
        <v>1353</v>
      </c>
      <c r="F678" s="46">
        <f>(3.3*1*2+1.2*1*2)*2</f>
        <v>18</v>
      </c>
      <c r="G678" s="62"/>
      <c r="H678" s="74"/>
    </row>
    <row r="679" spans="1:12">
      <c r="A679" s="105"/>
      <c r="B679" s="35"/>
      <c r="C679" s="66"/>
      <c r="D679" s="67"/>
      <c r="E679" s="65"/>
      <c r="F679" s="46"/>
      <c r="G679" s="62"/>
      <c r="H679" s="74"/>
    </row>
    <row r="680" spans="1:12" ht="25.5">
      <c r="A680" s="34">
        <f>MAX(A$1:A679)+1</f>
        <v>81</v>
      </c>
      <c r="B680" s="35"/>
      <c r="C680" s="36" t="s">
        <v>580</v>
      </c>
      <c r="D680" s="37"/>
      <c r="E680" s="38" t="s">
        <v>581</v>
      </c>
      <c r="F680" s="39"/>
      <c r="G680" s="40" t="s">
        <v>21</v>
      </c>
      <c r="H680" s="52">
        <v>75</v>
      </c>
    </row>
    <row r="681" spans="1:12" ht="25.5">
      <c r="A681" s="105"/>
      <c r="B681" s="35"/>
      <c r="C681" s="66"/>
      <c r="D681" s="67" t="s">
        <v>582</v>
      </c>
      <c r="E681" s="71" t="s">
        <v>583</v>
      </c>
      <c r="F681" s="61"/>
      <c r="G681" s="62" t="s">
        <v>21</v>
      </c>
      <c r="H681" s="99">
        <v>75</v>
      </c>
    </row>
    <row r="682" spans="1:12">
      <c r="A682" s="105"/>
      <c r="B682" s="35"/>
      <c r="C682" s="66"/>
      <c r="D682" s="67"/>
      <c r="E682" s="65" t="s">
        <v>1354</v>
      </c>
      <c r="F682" s="46"/>
      <c r="G682" s="62"/>
      <c r="H682" s="74"/>
    </row>
    <row r="683" spans="1:12">
      <c r="A683" s="105"/>
      <c r="B683" s="35"/>
      <c r="C683" s="66"/>
      <c r="D683" s="67"/>
      <c r="E683" s="65" t="s">
        <v>1355</v>
      </c>
      <c r="F683" s="46">
        <f>50*1.5</f>
        <v>75</v>
      </c>
      <c r="G683" s="62"/>
      <c r="H683" s="74"/>
    </row>
    <row r="684" spans="1:12">
      <c r="A684" s="105"/>
      <c r="B684" s="35"/>
      <c r="C684" s="66"/>
      <c r="D684" s="67"/>
      <c r="E684" s="65"/>
      <c r="F684" s="46"/>
      <c r="G684" s="62"/>
      <c r="H684" s="74"/>
    </row>
    <row r="685" spans="1:12" s="98" customFormat="1">
      <c r="A685" s="95"/>
      <c r="B685" s="35" t="s">
        <v>131</v>
      </c>
      <c r="C685" s="35"/>
      <c r="D685" s="94"/>
      <c r="E685" s="50" t="s">
        <v>132</v>
      </c>
      <c r="F685" s="100"/>
      <c r="G685" s="97"/>
      <c r="H685" s="42"/>
      <c r="I685"/>
      <c r="J685"/>
      <c r="K685"/>
      <c r="L685"/>
    </row>
    <row r="686" spans="1:12" s="98" customFormat="1">
      <c r="A686" s="95"/>
      <c r="B686" s="35"/>
      <c r="C686" s="35"/>
      <c r="D686" s="94"/>
      <c r="E686" s="50"/>
      <c r="F686" s="100"/>
      <c r="G686" s="97"/>
      <c r="H686" s="42"/>
      <c r="I686"/>
      <c r="J686"/>
      <c r="K686"/>
      <c r="L686"/>
    </row>
    <row r="687" spans="1:12" s="98" customFormat="1" ht="25.5">
      <c r="A687" s="34">
        <f>MAX(A$1:A686)+1</f>
        <v>82</v>
      </c>
      <c r="B687" s="35"/>
      <c r="C687" s="36" t="s">
        <v>446</v>
      </c>
      <c r="D687" s="37"/>
      <c r="E687" s="38" t="s">
        <v>447</v>
      </c>
      <c r="F687" s="39"/>
      <c r="G687" s="40" t="s">
        <v>18</v>
      </c>
      <c r="H687" s="52">
        <v>10</v>
      </c>
      <c r="I687"/>
      <c r="J687"/>
      <c r="K687"/>
      <c r="L687"/>
    </row>
    <row r="688" spans="1:12" s="98" customFormat="1" ht="25.5">
      <c r="A688" s="95"/>
      <c r="B688" s="35"/>
      <c r="C688" s="66"/>
      <c r="D688" s="67" t="s">
        <v>1356</v>
      </c>
      <c r="E688" s="71" t="s">
        <v>1357</v>
      </c>
      <c r="F688" s="61"/>
      <c r="G688" s="62" t="s">
        <v>18</v>
      </c>
      <c r="H688" s="99">
        <v>10</v>
      </c>
      <c r="I688"/>
      <c r="J688"/>
      <c r="K688"/>
      <c r="L688"/>
    </row>
    <row r="689" spans="1:21" s="98" customFormat="1">
      <c r="A689" s="95"/>
      <c r="B689" s="35"/>
      <c r="C689" s="35"/>
      <c r="D689" s="94"/>
      <c r="E689" s="65" t="s">
        <v>1358</v>
      </c>
      <c r="F689" s="212">
        <v>10</v>
      </c>
      <c r="G689" s="97"/>
      <c r="H689" s="42"/>
      <c r="I689"/>
      <c r="J689"/>
      <c r="K689"/>
      <c r="L689"/>
    </row>
    <row r="690" spans="1:21" s="98" customFormat="1">
      <c r="A690" s="95"/>
      <c r="B690" s="35"/>
      <c r="C690" s="35"/>
      <c r="D690" s="94"/>
      <c r="E690" s="50"/>
      <c r="F690" s="100"/>
      <c r="G690" s="97"/>
      <c r="H690" s="42"/>
      <c r="I690"/>
      <c r="J690"/>
      <c r="K690"/>
      <c r="L690"/>
    </row>
    <row r="691" spans="1:21" s="98" customFormat="1" ht="25.5">
      <c r="A691" s="34">
        <f>MAX(A$1:A690)+1</f>
        <v>83</v>
      </c>
      <c r="B691" s="35"/>
      <c r="C691" s="36" t="s">
        <v>393</v>
      </c>
      <c r="D691" s="37"/>
      <c r="E691" s="38" t="s">
        <v>394</v>
      </c>
      <c r="F691" s="39"/>
      <c r="G691" s="40" t="s">
        <v>18</v>
      </c>
      <c r="H691" s="52">
        <v>1.25</v>
      </c>
      <c r="I691"/>
      <c r="J691"/>
      <c r="K691"/>
      <c r="L691"/>
    </row>
    <row r="692" spans="1:21" s="98" customFormat="1" ht="25.5">
      <c r="A692" s="95"/>
      <c r="B692" s="35"/>
      <c r="C692" s="66"/>
      <c r="D692" s="67" t="s">
        <v>395</v>
      </c>
      <c r="E692" s="71" t="s">
        <v>396</v>
      </c>
      <c r="F692" s="61"/>
      <c r="G692" s="62" t="s">
        <v>18</v>
      </c>
      <c r="H692" s="99">
        <v>1.25</v>
      </c>
      <c r="I692"/>
      <c r="J692"/>
      <c r="K692"/>
      <c r="L692"/>
    </row>
    <row r="693" spans="1:21" s="98" customFormat="1">
      <c r="A693" s="95"/>
      <c r="B693" s="35"/>
      <c r="C693" s="35"/>
      <c r="D693" s="94"/>
      <c r="E693" s="65" t="s">
        <v>1359</v>
      </c>
      <c r="F693" s="53">
        <f>0.05*25</f>
        <v>1.25</v>
      </c>
      <c r="G693" s="97"/>
      <c r="H693" s="42"/>
      <c r="I693"/>
      <c r="J693"/>
      <c r="K693"/>
      <c r="L693"/>
    </row>
    <row r="694" spans="1:21" s="98" customFormat="1">
      <c r="A694" s="95"/>
      <c r="B694" s="35"/>
      <c r="C694" s="35"/>
      <c r="D694" s="94"/>
      <c r="E694" s="50"/>
      <c r="F694" s="100"/>
      <c r="G694" s="97"/>
      <c r="H694" s="42"/>
      <c r="I694"/>
      <c r="J694"/>
      <c r="K694"/>
      <c r="L694"/>
    </row>
    <row r="695" spans="1:21" s="98" customFormat="1" ht="25.5">
      <c r="A695" s="34">
        <f>MAX(A$1:A694)+1</f>
        <v>84</v>
      </c>
      <c r="B695" s="35"/>
      <c r="C695" s="36" t="s">
        <v>584</v>
      </c>
      <c r="D695" s="37"/>
      <c r="E695" s="38" t="s">
        <v>585</v>
      </c>
      <c r="F695" s="39"/>
      <c r="G695" s="40" t="s">
        <v>18</v>
      </c>
      <c r="H695" s="52">
        <v>1.7500000000000002</v>
      </c>
      <c r="I695"/>
      <c r="J695"/>
      <c r="K695"/>
      <c r="L695"/>
    </row>
    <row r="696" spans="1:21" s="98" customFormat="1">
      <c r="A696" s="95"/>
      <c r="B696" s="35"/>
      <c r="C696" s="35"/>
      <c r="D696" s="94"/>
      <c r="E696" s="65" t="s">
        <v>1360</v>
      </c>
      <c r="F696" s="53">
        <f>0.07*25</f>
        <v>1.7500000000000002</v>
      </c>
      <c r="G696" s="97"/>
      <c r="H696" s="42"/>
      <c r="I696"/>
      <c r="J696"/>
      <c r="K696"/>
      <c r="L696"/>
    </row>
    <row r="697" spans="1:21" s="98" customFormat="1">
      <c r="A697" s="95"/>
      <c r="B697" s="35"/>
      <c r="C697" s="35"/>
      <c r="D697" s="94"/>
      <c r="E697" s="50"/>
      <c r="F697" s="100"/>
      <c r="G697" s="97"/>
      <c r="H697" s="42"/>
      <c r="I697"/>
      <c r="J697"/>
      <c r="K697"/>
      <c r="L697"/>
    </row>
    <row r="698" spans="1:21" s="98" customFormat="1" ht="25.5">
      <c r="A698" s="34">
        <f>MAX(A$1:A697)+1</f>
        <v>85</v>
      </c>
      <c r="B698" s="35"/>
      <c r="C698" s="36" t="s">
        <v>223</v>
      </c>
      <c r="D698" s="37"/>
      <c r="E698" s="38" t="s">
        <v>224</v>
      </c>
      <c r="F698" s="39"/>
      <c r="G698" s="40" t="s">
        <v>36</v>
      </c>
      <c r="H698" s="52">
        <v>50</v>
      </c>
      <c r="I698"/>
      <c r="J698"/>
      <c r="K698"/>
      <c r="L698"/>
    </row>
    <row r="699" spans="1:21" s="98" customFormat="1" ht="25.5">
      <c r="A699" s="95"/>
      <c r="B699" s="35"/>
      <c r="C699" s="35"/>
      <c r="D699" s="67" t="s">
        <v>462</v>
      </c>
      <c r="E699" s="71" t="s">
        <v>463</v>
      </c>
      <c r="F699" s="61"/>
      <c r="G699" s="62" t="s">
        <v>36</v>
      </c>
      <c r="H699" s="99">
        <v>50</v>
      </c>
      <c r="I699"/>
      <c r="J699"/>
      <c r="K699"/>
      <c r="L699"/>
    </row>
    <row r="700" spans="1:21" s="98" customFormat="1">
      <c r="A700" s="95"/>
      <c r="B700" s="35"/>
      <c r="C700" s="35"/>
      <c r="D700" s="94"/>
      <c r="E700" s="65" t="s">
        <v>1361</v>
      </c>
      <c r="F700" s="212">
        <v>50</v>
      </c>
      <c r="G700" s="97"/>
      <c r="H700" s="42"/>
      <c r="I700"/>
      <c r="J700"/>
      <c r="K700"/>
      <c r="L700"/>
    </row>
    <row r="701" spans="1:21" s="98" customFormat="1">
      <c r="A701" s="95"/>
      <c r="B701" s="35"/>
      <c r="C701" s="35"/>
      <c r="D701" s="94"/>
      <c r="E701" s="50"/>
      <c r="F701" s="100"/>
      <c r="G701" s="97"/>
      <c r="H701" s="42"/>
      <c r="I701"/>
      <c r="J701"/>
      <c r="K701"/>
      <c r="L701"/>
    </row>
    <row r="702" spans="1:21">
      <c r="A702" s="34">
        <f>MAX(A$1:A701)+1</f>
        <v>86</v>
      </c>
      <c r="B702" s="43"/>
      <c r="C702" s="36" t="s">
        <v>586</v>
      </c>
      <c r="D702" s="37"/>
      <c r="E702" s="38" t="s">
        <v>587</v>
      </c>
      <c r="F702" s="39"/>
      <c r="G702" s="40" t="s">
        <v>36</v>
      </c>
      <c r="H702" s="52">
        <v>42</v>
      </c>
      <c r="I702"/>
      <c r="U702"/>
    </row>
    <row r="703" spans="1:21">
      <c r="A703" s="72"/>
      <c r="B703" s="73"/>
      <c r="C703" s="66"/>
      <c r="D703" s="67" t="s">
        <v>588</v>
      </c>
      <c r="E703" s="71" t="s">
        <v>589</v>
      </c>
      <c r="F703" s="61"/>
      <c r="G703" s="62" t="s">
        <v>36</v>
      </c>
      <c r="H703" s="99">
        <v>42</v>
      </c>
      <c r="I703"/>
      <c r="U703"/>
    </row>
    <row r="704" spans="1:21" ht="25.5">
      <c r="A704" s="105"/>
      <c r="B704" s="35"/>
      <c r="C704" s="35"/>
      <c r="D704" s="94"/>
      <c r="E704" s="65" t="s">
        <v>1362</v>
      </c>
      <c r="F704" s="46">
        <f>7*2</f>
        <v>14</v>
      </c>
      <c r="G704" s="62"/>
      <c r="H704" s="74"/>
    </row>
    <row r="705" spans="1:8" ht="25.5">
      <c r="A705" s="105"/>
      <c r="B705" s="35"/>
      <c r="C705" s="35"/>
      <c r="D705" s="94"/>
      <c r="E705" s="65" t="s">
        <v>1363</v>
      </c>
      <c r="F705" s="69">
        <f>7*4</f>
        <v>28</v>
      </c>
      <c r="G705" s="62"/>
      <c r="H705" s="74"/>
    </row>
    <row r="706" spans="1:8">
      <c r="A706" s="105"/>
      <c r="B706" s="35"/>
      <c r="C706" s="35"/>
      <c r="D706" s="94"/>
      <c r="E706" s="65"/>
      <c r="F706" s="46">
        <f>SUM(F704:F705)</f>
        <v>42</v>
      </c>
      <c r="G706" s="62"/>
      <c r="H706" s="74"/>
    </row>
    <row r="707" spans="1:8">
      <c r="A707" s="105"/>
      <c r="B707" s="35"/>
      <c r="C707" s="35"/>
      <c r="D707" s="94"/>
      <c r="E707" s="65"/>
      <c r="F707" s="46"/>
      <c r="G707" s="62"/>
      <c r="H707" s="74"/>
    </row>
    <row r="708" spans="1:8" ht="25.5">
      <c r="A708" s="34">
        <f>MAX(A$1:A707)+1</f>
        <v>87</v>
      </c>
      <c r="B708" s="35"/>
      <c r="C708" s="36" t="s">
        <v>590</v>
      </c>
      <c r="D708" s="37"/>
      <c r="E708" s="38" t="s">
        <v>591</v>
      </c>
      <c r="F708" s="39"/>
      <c r="G708" s="40" t="s">
        <v>18</v>
      </c>
      <c r="H708" s="52">
        <v>22.89</v>
      </c>
    </row>
    <row r="709" spans="1:8" ht="25.5">
      <c r="A709" s="105"/>
      <c r="B709" s="35"/>
      <c r="C709" s="66"/>
      <c r="D709" s="67" t="s">
        <v>592</v>
      </c>
      <c r="E709" s="71" t="s">
        <v>593</v>
      </c>
      <c r="F709" s="61"/>
      <c r="G709" s="62" t="s">
        <v>18</v>
      </c>
      <c r="H709" s="99">
        <v>22.89</v>
      </c>
    </row>
    <row r="710" spans="1:8">
      <c r="A710" s="105"/>
      <c r="B710" s="35"/>
      <c r="C710" s="35"/>
      <c r="D710" s="94"/>
      <c r="E710" s="65" t="s">
        <v>1364</v>
      </c>
      <c r="F710" s="46">
        <f>3.14*0.45*0.45*6*2</f>
        <v>7.6302000000000003</v>
      </c>
      <c r="G710" s="62"/>
      <c r="H710" s="74"/>
    </row>
    <row r="711" spans="1:8">
      <c r="A711" s="105"/>
      <c r="B711" s="35"/>
      <c r="C711" s="35"/>
      <c r="D711" s="94"/>
      <c r="E711" s="65" t="s">
        <v>1365</v>
      </c>
      <c r="F711" s="69">
        <f>3.14*0.45*0.45*6*4</f>
        <v>15.260400000000001</v>
      </c>
      <c r="G711" s="62"/>
      <c r="H711" s="74"/>
    </row>
    <row r="712" spans="1:8">
      <c r="A712" s="105"/>
      <c r="B712" s="35"/>
      <c r="C712" s="35"/>
      <c r="D712" s="94"/>
      <c r="E712" s="65"/>
      <c r="F712" s="46">
        <f>SUM(F710:F711)</f>
        <v>22.890599999999999</v>
      </c>
      <c r="G712" s="62"/>
      <c r="H712" s="74"/>
    </row>
    <row r="713" spans="1:8">
      <c r="A713" s="105"/>
      <c r="B713" s="35"/>
      <c r="C713" s="35"/>
      <c r="D713" s="94"/>
      <c r="E713" s="65"/>
      <c r="F713" s="46"/>
      <c r="G713" s="62"/>
      <c r="H713" s="74"/>
    </row>
    <row r="714" spans="1:8" ht="25.5">
      <c r="A714" s="34">
        <f>MAX(A$1:A713)+1</f>
        <v>88</v>
      </c>
      <c r="B714" s="35"/>
      <c r="C714" s="36" t="s">
        <v>594</v>
      </c>
      <c r="D714" s="37"/>
      <c r="E714" s="38" t="s">
        <v>595</v>
      </c>
      <c r="F714" s="39"/>
      <c r="G714" s="40" t="s">
        <v>15</v>
      </c>
      <c r="H714" s="52">
        <v>1.54</v>
      </c>
    </row>
    <row r="715" spans="1:8" ht="25.5">
      <c r="A715" s="105"/>
      <c r="B715" s="35"/>
      <c r="C715" s="66"/>
      <c r="D715" s="67" t="s">
        <v>596</v>
      </c>
      <c r="E715" s="71" t="s">
        <v>597</v>
      </c>
      <c r="F715" s="61"/>
      <c r="G715" s="62" t="s">
        <v>15</v>
      </c>
      <c r="H715" s="99">
        <v>1.54</v>
      </c>
    </row>
    <row r="716" spans="1:8">
      <c r="A716" s="105"/>
      <c r="B716" s="35"/>
      <c r="C716" s="35"/>
      <c r="D716" s="94"/>
      <c r="E716" s="65" t="s">
        <v>601</v>
      </c>
      <c r="F716" s="46"/>
      <c r="G716" s="62"/>
      <c r="H716" s="74"/>
    </row>
    <row r="717" spans="1:8">
      <c r="A717" s="105"/>
      <c r="B717" s="35"/>
      <c r="C717" s="35"/>
      <c r="D717" s="94"/>
      <c r="E717" s="65" t="s">
        <v>1366</v>
      </c>
      <c r="F717" s="46">
        <f>0.257*2</f>
        <v>0.51400000000000001</v>
      </c>
      <c r="G717" s="62"/>
      <c r="H717" s="74"/>
    </row>
    <row r="718" spans="1:8">
      <c r="A718" s="105"/>
      <c r="B718" s="35"/>
      <c r="C718" s="35"/>
      <c r="D718" s="94"/>
      <c r="E718" s="65" t="s">
        <v>1367</v>
      </c>
      <c r="F718" s="69">
        <f>0.257*4</f>
        <v>1.028</v>
      </c>
      <c r="G718" s="62"/>
      <c r="H718" s="74"/>
    </row>
    <row r="719" spans="1:8">
      <c r="A719" s="105"/>
      <c r="B719" s="35"/>
      <c r="C719" s="35"/>
      <c r="D719" s="94"/>
      <c r="E719" s="65"/>
      <c r="F719" s="46">
        <f>SUM(F717:F718)</f>
        <v>1.542</v>
      </c>
      <c r="G719" s="62"/>
      <c r="H719" s="74"/>
    </row>
    <row r="720" spans="1:8">
      <c r="A720" s="105"/>
      <c r="B720" s="35"/>
      <c r="C720" s="35"/>
      <c r="D720" s="94"/>
      <c r="E720" s="65"/>
      <c r="F720" s="46"/>
      <c r="G720" s="62"/>
      <c r="H720" s="74"/>
    </row>
    <row r="721" spans="1:9" ht="25.5">
      <c r="A721" s="34">
        <f>MAX(A$1:A720)+1</f>
        <v>89</v>
      </c>
      <c r="B721" s="35"/>
      <c r="C721" s="36" t="s">
        <v>345</v>
      </c>
      <c r="D721" s="37"/>
      <c r="E721" s="38" t="s">
        <v>346</v>
      </c>
      <c r="F721" s="39"/>
      <c r="G721" s="40" t="s">
        <v>21</v>
      </c>
      <c r="H721" s="64">
        <v>645</v>
      </c>
      <c r="I721" s="695"/>
    </row>
    <row r="722" spans="1:9" ht="25.5">
      <c r="A722" s="105"/>
      <c r="B722" s="35"/>
      <c r="C722" s="66"/>
      <c r="D722" s="67" t="s">
        <v>347</v>
      </c>
      <c r="E722" s="71" t="s">
        <v>348</v>
      </c>
      <c r="F722" s="61"/>
      <c r="G722" s="62" t="s">
        <v>21</v>
      </c>
      <c r="H722" s="83">
        <v>645</v>
      </c>
    </row>
    <row r="723" spans="1:9">
      <c r="A723" s="105"/>
      <c r="B723" s="35"/>
      <c r="C723" s="35"/>
      <c r="D723" s="94"/>
      <c r="E723" s="65" t="s">
        <v>1368</v>
      </c>
      <c r="F723" s="46">
        <v>245</v>
      </c>
      <c r="G723" s="62"/>
      <c r="H723" s="74"/>
    </row>
    <row r="724" spans="1:9">
      <c r="A724" s="105"/>
      <c r="B724" s="35"/>
      <c r="C724" s="35"/>
      <c r="D724" s="94"/>
      <c r="E724" s="65"/>
      <c r="F724" s="46"/>
      <c r="G724" s="62"/>
      <c r="H724" s="74"/>
    </row>
    <row r="725" spans="1:9" ht="25.5">
      <c r="A725" s="105"/>
      <c r="B725" s="35"/>
      <c r="C725" s="35"/>
      <c r="D725" s="94"/>
      <c r="E725" s="65" t="s">
        <v>1369</v>
      </c>
      <c r="F725" s="46">
        <v>400</v>
      </c>
      <c r="G725" s="62"/>
      <c r="H725" s="74"/>
    </row>
    <row r="726" spans="1:9">
      <c r="A726" s="105"/>
      <c r="B726" s="35"/>
      <c r="C726" s="35"/>
      <c r="D726" s="94"/>
      <c r="E726" s="91" t="s">
        <v>41</v>
      </c>
      <c r="F726" s="123">
        <f>F723+F725</f>
        <v>645</v>
      </c>
      <c r="G726" s="62"/>
      <c r="H726" s="74"/>
    </row>
    <row r="727" spans="1:9">
      <c r="A727" s="105"/>
      <c r="B727" s="35"/>
      <c r="C727" s="35"/>
      <c r="D727" s="94"/>
      <c r="E727" s="65"/>
      <c r="F727" s="46"/>
      <c r="G727" s="62"/>
      <c r="H727" s="74"/>
    </row>
    <row r="728" spans="1:9">
      <c r="A728" s="105"/>
      <c r="B728" s="35" t="s">
        <v>416</v>
      </c>
      <c r="C728" s="35"/>
      <c r="D728" s="94"/>
      <c r="E728" s="50" t="s">
        <v>417</v>
      </c>
      <c r="F728" s="46"/>
      <c r="G728" s="62"/>
      <c r="H728" s="74"/>
    </row>
    <row r="729" spans="1:9">
      <c r="A729" s="105"/>
      <c r="B729" s="35"/>
      <c r="C729" s="35"/>
      <c r="D729" s="94"/>
      <c r="E729" s="65"/>
      <c r="F729" s="46"/>
      <c r="G729" s="62"/>
      <c r="H729" s="74"/>
    </row>
    <row r="730" spans="1:9">
      <c r="A730" s="34">
        <f>MAX(A$1:A729)+1</f>
        <v>90</v>
      </c>
      <c r="B730" s="35"/>
      <c r="C730" s="36" t="s">
        <v>776</v>
      </c>
      <c r="D730" s="37"/>
      <c r="E730" s="38" t="s">
        <v>777</v>
      </c>
      <c r="F730" s="39"/>
      <c r="G730" s="40" t="s">
        <v>18</v>
      </c>
      <c r="H730" s="52">
        <v>16.260000000000002</v>
      </c>
    </row>
    <row r="731" spans="1:9">
      <c r="A731" s="105"/>
      <c r="B731" s="35"/>
      <c r="C731" s="66"/>
      <c r="D731" s="191" t="s">
        <v>778</v>
      </c>
      <c r="E731" s="193" t="s">
        <v>779</v>
      </c>
      <c r="F731" s="192"/>
      <c r="G731" s="32" t="s">
        <v>18</v>
      </c>
      <c r="H731" s="99">
        <v>16.260000000000002</v>
      </c>
    </row>
    <row r="732" spans="1:9">
      <c r="A732" s="105"/>
      <c r="B732" s="35"/>
      <c r="C732" s="66"/>
      <c r="D732" s="191"/>
      <c r="E732" s="210" t="s">
        <v>600</v>
      </c>
      <c r="F732" s="192"/>
      <c r="G732" s="32"/>
      <c r="H732" s="99"/>
    </row>
    <row r="733" spans="1:9">
      <c r="A733" s="105"/>
      <c r="B733" s="35"/>
      <c r="C733" s="66"/>
      <c r="D733" s="191"/>
      <c r="E733" s="103" t="s">
        <v>1370</v>
      </c>
      <c r="F733" s="278">
        <f>3.8*1.4*0.1</f>
        <v>0.53199999999999992</v>
      </c>
      <c r="G733" s="32"/>
      <c r="H733" s="99"/>
    </row>
    <row r="734" spans="1:9">
      <c r="A734" s="105"/>
      <c r="B734" s="35"/>
      <c r="C734" s="66"/>
      <c r="D734" s="191"/>
      <c r="E734" s="103" t="s">
        <v>1371</v>
      </c>
      <c r="F734" s="272">
        <f>3.5*1.4*0.1*2</f>
        <v>0.98</v>
      </c>
      <c r="G734" s="32"/>
      <c r="H734" s="99"/>
    </row>
    <row r="735" spans="1:9">
      <c r="A735" s="105"/>
      <c r="B735" s="35"/>
      <c r="C735" s="66"/>
      <c r="D735" s="191"/>
      <c r="E735" s="103"/>
      <c r="F735" s="278">
        <f>SUM(F733:F734)</f>
        <v>1.512</v>
      </c>
      <c r="G735" s="32"/>
      <c r="H735" s="99"/>
    </row>
    <row r="736" spans="1:9">
      <c r="A736" s="105"/>
      <c r="B736" s="35"/>
      <c r="C736" s="66"/>
      <c r="D736" s="191"/>
      <c r="E736" s="193"/>
      <c r="F736" s="192"/>
      <c r="G736" s="32"/>
      <c r="H736" s="99"/>
    </row>
    <row r="737" spans="1:8">
      <c r="A737" s="105"/>
      <c r="B737" s="35"/>
      <c r="C737" s="35"/>
      <c r="D737" s="94"/>
      <c r="E737" s="65" t="s">
        <v>1372</v>
      </c>
      <c r="F737" s="46">
        <f>3.6*1.2*1</f>
        <v>4.32</v>
      </c>
      <c r="G737" s="62"/>
      <c r="H737" s="74"/>
    </row>
    <row r="738" spans="1:8" ht="25.5">
      <c r="A738" s="105"/>
      <c r="B738" s="35"/>
      <c r="C738" s="35"/>
      <c r="D738" s="94"/>
      <c r="E738" s="65" t="s">
        <v>1373</v>
      </c>
      <c r="F738" s="46">
        <f>(3.14*0.42*0.42+1.21*0.84)*1.6</f>
        <v>2.5124735999999999</v>
      </c>
      <c r="G738" s="62"/>
      <c r="H738" s="74"/>
    </row>
    <row r="739" spans="1:8">
      <c r="A739" s="105"/>
      <c r="B739" s="35"/>
      <c r="C739" s="35"/>
      <c r="D739" s="94"/>
      <c r="E739" s="65" t="s">
        <v>1374</v>
      </c>
      <c r="F739" s="69">
        <f>3.3*1.2*1*2</f>
        <v>7.919999999999999</v>
      </c>
      <c r="G739" s="62"/>
      <c r="H739" s="74"/>
    </row>
    <row r="740" spans="1:8">
      <c r="A740" s="105"/>
      <c r="B740" s="35"/>
      <c r="C740" s="35"/>
      <c r="D740" s="94"/>
      <c r="E740" s="65"/>
      <c r="F740" s="46">
        <f>SUM(F737:F739)</f>
        <v>14.752473599999998</v>
      </c>
      <c r="G740" s="62"/>
      <c r="H740" s="74"/>
    </row>
    <row r="741" spans="1:8">
      <c r="A741" s="105"/>
      <c r="B741" s="35"/>
      <c r="C741" s="35"/>
      <c r="D741" s="94"/>
      <c r="E741" s="91" t="s">
        <v>41</v>
      </c>
      <c r="F741" s="123">
        <f>F735+F740</f>
        <v>16.264473599999999</v>
      </c>
      <c r="G741" s="62"/>
      <c r="H741" s="74"/>
    </row>
    <row r="742" spans="1:8">
      <c r="A742" s="105"/>
      <c r="B742" s="35"/>
      <c r="C742" s="35"/>
      <c r="D742" s="94"/>
      <c r="E742" s="65"/>
      <c r="F742" s="46"/>
      <c r="G742" s="62"/>
      <c r="H742" s="74"/>
    </row>
    <row r="743" spans="1:8">
      <c r="A743" s="34">
        <f>MAX(A$1:A742)+1</f>
        <v>91</v>
      </c>
      <c r="B743" s="35"/>
      <c r="C743" s="36" t="s">
        <v>680</v>
      </c>
      <c r="D743" s="37"/>
      <c r="E743" s="38" t="s">
        <v>681</v>
      </c>
      <c r="F743" s="39"/>
      <c r="G743" s="40" t="s">
        <v>21</v>
      </c>
      <c r="H743" s="52">
        <v>26.09</v>
      </c>
    </row>
    <row r="744" spans="1:8">
      <c r="A744" s="105"/>
      <c r="B744" s="35"/>
      <c r="C744" s="66"/>
      <c r="D744" s="67" t="s">
        <v>682</v>
      </c>
      <c r="E744" s="71" t="s">
        <v>683</v>
      </c>
      <c r="F744" s="61"/>
      <c r="G744" s="62" t="s">
        <v>21</v>
      </c>
      <c r="H744" s="99">
        <v>26.09</v>
      </c>
    </row>
    <row r="745" spans="1:8">
      <c r="A745" s="105"/>
      <c r="B745" s="35"/>
      <c r="C745" s="35"/>
      <c r="D745" s="94"/>
      <c r="E745" s="65" t="s">
        <v>1375</v>
      </c>
      <c r="F745" s="46">
        <f>(2*3.14*0.42+1.21*2)*1.6</f>
        <v>8.0921599999999998</v>
      </c>
      <c r="G745" s="62"/>
      <c r="H745" s="74"/>
    </row>
    <row r="746" spans="1:8">
      <c r="A746" s="105"/>
      <c r="B746" s="35"/>
      <c r="C746" s="35"/>
      <c r="D746" s="94"/>
      <c r="E746" s="65" t="s">
        <v>1376</v>
      </c>
      <c r="F746" s="69">
        <f>(3.3*1+1.2*1)*2*2</f>
        <v>18</v>
      </c>
      <c r="G746" s="62"/>
      <c r="H746" s="74"/>
    </row>
    <row r="747" spans="1:8">
      <c r="A747" s="105"/>
      <c r="B747" s="35"/>
      <c r="C747" s="35"/>
      <c r="D747" s="94"/>
      <c r="E747" s="65"/>
      <c r="F747" s="46">
        <f>SUM(F745:F746)</f>
        <v>26.09216</v>
      </c>
      <c r="G747" s="62"/>
      <c r="H747" s="74"/>
    </row>
    <row r="748" spans="1:8">
      <c r="A748" s="105"/>
      <c r="B748" s="35"/>
      <c r="C748" s="35"/>
      <c r="D748" s="94"/>
      <c r="E748" s="65"/>
      <c r="F748" s="46"/>
      <c r="G748" s="62"/>
      <c r="H748" s="74"/>
    </row>
    <row r="749" spans="1:8">
      <c r="A749" s="34">
        <f>MAX(A$1:A748)+1</f>
        <v>92</v>
      </c>
      <c r="B749" s="35"/>
      <c r="C749" s="36" t="s">
        <v>741</v>
      </c>
      <c r="D749" s="37"/>
      <c r="E749" s="38" t="s">
        <v>742</v>
      </c>
      <c r="F749" s="39"/>
      <c r="G749" s="40" t="s">
        <v>15</v>
      </c>
      <c r="H749" s="52">
        <v>1.97</v>
      </c>
    </row>
    <row r="750" spans="1:8">
      <c r="A750" s="105"/>
      <c r="B750" s="35"/>
      <c r="C750" s="35"/>
      <c r="D750" s="67" t="s">
        <v>780</v>
      </c>
      <c r="E750" s="71" t="s">
        <v>781</v>
      </c>
      <c r="F750" s="61"/>
      <c r="G750" s="62" t="s">
        <v>15</v>
      </c>
      <c r="H750" s="99">
        <v>1.97</v>
      </c>
    </row>
    <row r="751" spans="1:8">
      <c r="A751" s="105"/>
      <c r="B751" s="35"/>
      <c r="C751" s="35"/>
      <c r="D751" s="94"/>
      <c r="E751" s="65" t="s">
        <v>601</v>
      </c>
      <c r="F751" s="46"/>
      <c r="G751" s="62"/>
      <c r="H751" s="74"/>
    </row>
    <row r="752" spans="1:8">
      <c r="A752" s="105"/>
      <c r="B752" s="35"/>
      <c r="C752" s="35"/>
      <c r="D752" s="94"/>
      <c r="E752" s="84" t="s">
        <v>1377</v>
      </c>
      <c r="F752" s="46"/>
      <c r="G752" s="62"/>
      <c r="H752" s="74"/>
    </row>
    <row r="753" spans="1:8">
      <c r="A753" s="105"/>
      <c r="B753" s="35"/>
      <c r="C753" s="35"/>
      <c r="D753" s="94"/>
      <c r="E753" s="65" t="s">
        <v>1378</v>
      </c>
      <c r="F753" s="46">
        <f>901/1000</f>
        <v>0.90100000000000002</v>
      </c>
      <c r="G753" s="62"/>
      <c r="H753" s="74"/>
    </row>
    <row r="754" spans="1:8">
      <c r="A754" s="105"/>
      <c r="B754" s="35"/>
      <c r="C754" s="35"/>
      <c r="D754" s="94"/>
      <c r="E754" s="65" t="s">
        <v>1379</v>
      </c>
      <c r="F754" s="69">
        <f>216/1000</f>
        <v>0.216</v>
      </c>
      <c r="G754" s="62"/>
      <c r="H754" s="74"/>
    </row>
    <row r="755" spans="1:8">
      <c r="A755" s="72"/>
      <c r="B755" s="73"/>
      <c r="C755" s="66"/>
      <c r="D755" s="67"/>
      <c r="E755" s="84"/>
      <c r="F755" s="90">
        <f>SUM(F753:F754)</f>
        <v>1.117</v>
      </c>
      <c r="G755" s="62"/>
      <c r="H755" s="99"/>
    </row>
    <row r="756" spans="1:8">
      <c r="A756" s="72"/>
      <c r="B756" s="73"/>
      <c r="C756" s="66"/>
      <c r="D756" s="67"/>
      <c r="E756" s="84"/>
      <c r="F756" s="90"/>
      <c r="G756" s="62"/>
      <c r="H756" s="99"/>
    </row>
    <row r="757" spans="1:8">
      <c r="A757" s="72"/>
      <c r="B757" s="73"/>
      <c r="C757" s="66"/>
      <c r="D757" s="67"/>
      <c r="E757" s="84" t="s">
        <v>1380</v>
      </c>
      <c r="F757" s="90"/>
      <c r="G757" s="62"/>
      <c r="H757" s="99"/>
    </row>
    <row r="758" spans="1:8">
      <c r="A758" s="72"/>
      <c r="B758" s="73"/>
      <c r="C758" s="66"/>
      <c r="D758" s="67"/>
      <c r="E758" s="65" t="s">
        <v>1381</v>
      </c>
      <c r="F758" s="90">
        <f>0.424*2</f>
        <v>0.84799999999999998</v>
      </c>
      <c r="G758" s="62"/>
      <c r="H758" s="99"/>
    </row>
    <row r="759" spans="1:8">
      <c r="A759" s="72"/>
      <c r="B759" s="73"/>
      <c r="C759" s="66"/>
      <c r="D759" s="67"/>
      <c r="E759" s="91" t="s">
        <v>41</v>
      </c>
      <c r="F759" s="92">
        <f>F755+F758</f>
        <v>1.9649999999999999</v>
      </c>
      <c r="G759" s="62"/>
      <c r="H759" s="99"/>
    </row>
    <row r="760" spans="1:8">
      <c r="A760" s="72"/>
      <c r="B760" s="73"/>
      <c r="C760" s="66"/>
      <c r="D760" s="67"/>
      <c r="E760" s="91"/>
      <c r="F760" s="92"/>
      <c r="G760" s="62"/>
      <c r="H760" s="99"/>
    </row>
    <row r="761" spans="1:8">
      <c r="A761" s="72"/>
      <c r="B761" s="35" t="s">
        <v>621</v>
      </c>
      <c r="C761" s="35"/>
      <c r="D761" s="94"/>
      <c r="E761" s="50" t="s">
        <v>622</v>
      </c>
      <c r="F761" s="100"/>
      <c r="G761" s="97"/>
      <c r="H761" s="42"/>
    </row>
    <row r="762" spans="1:8">
      <c r="A762" s="72"/>
      <c r="B762" s="125"/>
      <c r="C762" s="125"/>
      <c r="D762" s="601"/>
      <c r="E762" s="168"/>
      <c r="F762" s="603"/>
      <c r="G762" s="32"/>
      <c r="H762" s="83"/>
    </row>
    <row r="763" spans="1:8" ht="25.5">
      <c r="A763" s="34">
        <f>MAX(A$1:A762)+1</f>
        <v>93</v>
      </c>
      <c r="B763" s="43"/>
      <c r="C763" s="195">
        <v>92020102</v>
      </c>
      <c r="D763" s="196"/>
      <c r="E763" s="38" t="s">
        <v>756</v>
      </c>
      <c r="F763" s="39"/>
      <c r="G763" s="40" t="s">
        <v>36</v>
      </c>
      <c r="H763" s="64">
        <v>597</v>
      </c>
    </row>
    <row r="764" spans="1:8" ht="25.5">
      <c r="A764" s="72"/>
      <c r="B764" s="73"/>
      <c r="C764" s="198"/>
      <c r="D764" s="199">
        <v>9202010205</v>
      </c>
      <c r="E764" s="71" t="s">
        <v>757</v>
      </c>
      <c r="F764" s="61"/>
      <c r="G764" s="62" t="s">
        <v>36</v>
      </c>
      <c r="H764" s="83">
        <v>597</v>
      </c>
    </row>
    <row r="765" spans="1:8">
      <c r="A765" s="72"/>
      <c r="B765" s="73"/>
      <c r="C765" s="198"/>
      <c r="D765" s="199"/>
      <c r="E765" s="168" t="s">
        <v>1382</v>
      </c>
      <c r="F765" s="603">
        <v>200</v>
      </c>
      <c r="G765" s="62"/>
      <c r="H765" s="83"/>
    </row>
    <row r="766" spans="1:8">
      <c r="A766" s="72"/>
      <c r="B766" s="73"/>
      <c r="C766" s="198"/>
      <c r="D766" s="199"/>
      <c r="E766" s="168" t="s">
        <v>1383</v>
      </c>
      <c r="F766" s="603">
        <v>55</v>
      </c>
      <c r="G766" s="62"/>
      <c r="H766" s="83"/>
    </row>
    <row r="767" spans="1:8">
      <c r="A767" s="72"/>
      <c r="B767" s="73"/>
      <c r="C767" s="198"/>
      <c r="D767" s="199"/>
      <c r="E767" s="168" t="s">
        <v>1384</v>
      </c>
      <c r="F767" s="603">
        <v>171</v>
      </c>
      <c r="G767" s="62"/>
      <c r="H767" s="83"/>
    </row>
    <row r="768" spans="1:8">
      <c r="A768" s="72"/>
      <c r="B768" s="125"/>
      <c r="C768" s="125"/>
      <c r="D768" s="601"/>
      <c r="E768" s="168" t="s">
        <v>1385</v>
      </c>
      <c r="F768" s="705">
        <v>171</v>
      </c>
      <c r="G768" s="32"/>
      <c r="H768" s="83"/>
    </row>
    <row r="769" spans="1:8">
      <c r="A769" s="72"/>
      <c r="B769" s="125"/>
      <c r="C769" s="125"/>
      <c r="D769" s="601"/>
      <c r="E769" s="168"/>
      <c r="F769" s="706">
        <f>SUM(F765:F768)</f>
        <v>597</v>
      </c>
      <c r="G769" s="32"/>
      <c r="H769" s="83"/>
    </row>
    <row r="770" spans="1:8">
      <c r="A770" s="72"/>
      <c r="B770" s="125"/>
      <c r="C770" s="125"/>
      <c r="D770" s="601"/>
      <c r="E770" s="168"/>
      <c r="F770" s="603"/>
      <c r="G770" s="32"/>
      <c r="H770" s="83"/>
    </row>
    <row r="771" spans="1:8" ht="25.5">
      <c r="A771" s="34">
        <f>MAX(A$1:A770)+1</f>
        <v>94</v>
      </c>
      <c r="B771" s="43"/>
      <c r="C771" s="195">
        <v>92020301</v>
      </c>
      <c r="D771" s="196"/>
      <c r="E771" s="38" t="s">
        <v>476</v>
      </c>
      <c r="F771" s="39"/>
      <c r="G771" s="40" t="s">
        <v>33</v>
      </c>
      <c r="H771" s="64">
        <v>28</v>
      </c>
    </row>
    <row r="772" spans="1:8" ht="25.5">
      <c r="A772" s="72"/>
      <c r="B772" s="73"/>
      <c r="C772" s="198"/>
      <c r="D772" s="199">
        <v>9202030101</v>
      </c>
      <c r="E772" s="71" t="s">
        <v>477</v>
      </c>
      <c r="F772" s="61"/>
      <c r="G772" s="62" t="s">
        <v>33</v>
      </c>
      <c r="H772" s="83">
        <v>20</v>
      </c>
    </row>
    <row r="773" spans="1:8">
      <c r="A773" s="72"/>
      <c r="B773" s="125"/>
      <c r="C773" s="125"/>
      <c r="D773" s="601"/>
      <c r="E773" s="168" t="s">
        <v>1382</v>
      </c>
      <c r="F773" s="603">
        <v>10</v>
      </c>
      <c r="G773" s="32"/>
      <c r="H773" s="83"/>
    </row>
    <row r="774" spans="1:8">
      <c r="A774" s="72"/>
      <c r="B774" s="125"/>
      <c r="C774" s="125"/>
      <c r="D774" s="601"/>
      <c r="E774" s="168" t="s">
        <v>1383</v>
      </c>
      <c r="F774" s="603">
        <v>2</v>
      </c>
      <c r="G774" s="32"/>
      <c r="H774" s="83"/>
    </row>
    <row r="775" spans="1:8">
      <c r="A775" s="72"/>
      <c r="B775" s="125"/>
      <c r="C775" s="125"/>
      <c r="D775" s="601"/>
      <c r="E775" s="168" t="s">
        <v>1384</v>
      </c>
      <c r="F775" s="705">
        <v>8</v>
      </c>
      <c r="G775" s="32"/>
      <c r="H775" s="83"/>
    </row>
    <row r="776" spans="1:8">
      <c r="A776" s="72"/>
      <c r="B776" s="125"/>
      <c r="C776" s="125"/>
      <c r="D776" s="601"/>
      <c r="E776" s="168"/>
      <c r="F776" s="706">
        <f>SUM(F773:F775)</f>
        <v>20</v>
      </c>
      <c r="G776" s="32"/>
      <c r="H776" s="83"/>
    </row>
    <row r="777" spans="1:8" ht="25.5">
      <c r="A777" s="72"/>
      <c r="B777" s="73"/>
      <c r="C777" s="198"/>
      <c r="D777" s="199">
        <v>9202030102</v>
      </c>
      <c r="E777" s="71" t="s">
        <v>490</v>
      </c>
      <c r="F777" s="61"/>
      <c r="G777" s="62" t="s">
        <v>33</v>
      </c>
      <c r="H777" s="83">
        <v>8</v>
      </c>
    </row>
    <row r="778" spans="1:8">
      <c r="A778" s="72"/>
      <c r="B778" s="125"/>
      <c r="C778" s="125"/>
      <c r="D778" s="601"/>
      <c r="E778" s="168" t="s">
        <v>1385</v>
      </c>
      <c r="F778" s="603">
        <v>8</v>
      </c>
      <c r="G778" s="32"/>
      <c r="H778" s="83"/>
    </row>
    <row r="779" spans="1:8">
      <c r="A779" s="72"/>
      <c r="B779" s="125"/>
      <c r="C779" s="125"/>
      <c r="D779" s="601"/>
      <c r="E779" s="168"/>
      <c r="F779" s="603"/>
      <c r="G779" s="32"/>
      <c r="H779" s="83"/>
    </row>
    <row r="780" spans="1:8" ht="25.5">
      <c r="A780" s="34">
        <f>MAX(A$1:A779)+1</f>
        <v>95</v>
      </c>
      <c r="B780" s="43"/>
      <c r="C780" s="195">
        <v>92020702</v>
      </c>
      <c r="D780" s="196"/>
      <c r="E780" s="38" t="s">
        <v>718</v>
      </c>
      <c r="F780" s="39"/>
      <c r="G780" s="40" t="s">
        <v>33</v>
      </c>
      <c r="H780" s="64">
        <v>60</v>
      </c>
    </row>
    <row r="781" spans="1:8" ht="25.5">
      <c r="A781" s="72"/>
      <c r="B781" s="73"/>
      <c r="C781" s="198"/>
      <c r="D781" s="199">
        <v>9202070202</v>
      </c>
      <c r="E781" s="71" t="s">
        <v>719</v>
      </c>
      <c r="F781" s="61"/>
      <c r="G781" s="62" t="s">
        <v>33</v>
      </c>
      <c r="H781" s="83">
        <v>60</v>
      </c>
    </row>
    <row r="782" spans="1:8">
      <c r="A782" s="72"/>
      <c r="B782" s="125"/>
      <c r="C782" s="125"/>
      <c r="D782" s="601"/>
      <c r="E782" s="168" t="s">
        <v>1386</v>
      </c>
      <c r="F782" s="603">
        <v>60</v>
      </c>
      <c r="G782" s="32"/>
      <c r="H782" s="83"/>
    </row>
    <row r="783" spans="1:8">
      <c r="A783" s="72"/>
      <c r="B783" s="125"/>
      <c r="C783" s="125"/>
      <c r="D783" s="601"/>
      <c r="E783" s="168"/>
      <c r="F783" s="603"/>
      <c r="G783" s="32"/>
      <c r="H783" s="83"/>
    </row>
    <row r="784" spans="1:8" ht="25.5">
      <c r="A784" s="34">
        <f>MAX(A$1:A783)+1</f>
        <v>96</v>
      </c>
      <c r="B784" s="43"/>
      <c r="C784" s="195">
        <v>92022501</v>
      </c>
      <c r="D784" s="196"/>
      <c r="E784" s="38" t="s">
        <v>478</v>
      </c>
      <c r="F784" s="39"/>
      <c r="G784" s="40" t="s">
        <v>33</v>
      </c>
      <c r="H784" s="64">
        <v>60</v>
      </c>
    </row>
    <row r="785" spans="1:8" ht="25.5">
      <c r="A785" s="72"/>
      <c r="B785" s="73"/>
      <c r="C785" s="198"/>
      <c r="D785" s="199">
        <v>9202250101</v>
      </c>
      <c r="E785" s="71" t="s">
        <v>758</v>
      </c>
      <c r="F785" s="61"/>
      <c r="G785" s="62" t="s">
        <v>33</v>
      </c>
      <c r="H785" s="83">
        <v>4</v>
      </c>
    </row>
    <row r="786" spans="1:8">
      <c r="A786" s="72"/>
      <c r="B786" s="73"/>
      <c r="C786" s="198"/>
      <c r="D786" s="199"/>
      <c r="E786" s="168" t="s">
        <v>1382</v>
      </c>
      <c r="F786" s="603">
        <v>1</v>
      </c>
      <c r="G786" s="62"/>
      <c r="H786" s="83"/>
    </row>
    <row r="787" spans="1:8">
      <c r="A787" s="72"/>
      <c r="B787" s="73"/>
      <c r="C787" s="198"/>
      <c r="D787" s="199"/>
      <c r="E787" s="168" t="s">
        <v>1383</v>
      </c>
      <c r="F787" s="603">
        <v>1</v>
      </c>
      <c r="G787" s="62"/>
      <c r="H787" s="83"/>
    </row>
    <row r="788" spans="1:8">
      <c r="A788" s="72"/>
      <c r="B788" s="73"/>
      <c r="C788" s="198"/>
      <c r="D788" s="199"/>
      <c r="E788" s="168" t="s">
        <v>1384</v>
      </c>
      <c r="F788" s="603">
        <v>1</v>
      </c>
      <c r="G788" s="62"/>
      <c r="H788" s="83"/>
    </row>
    <row r="789" spans="1:8">
      <c r="A789" s="72"/>
      <c r="B789" s="73"/>
      <c r="C789" s="198"/>
      <c r="D789" s="199"/>
      <c r="E789" s="168" t="s">
        <v>1385</v>
      </c>
      <c r="F789" s="705">
        <v>1</v>
      </c>
      <c r="G789" s="62"/>
      <c r="H789" s="83"/>
    </row>
    <row r="790" spans="1:8">
      <c r="A790" s="72"/>
      <c r="B790" s="73"/>
      <c r="C790" s="198"/>
      <c r="D790" s="199"/>
      <c r="E790" s="168"/>
      <c r="F790" s="706">
        <f>SUM(F786:F789)</f>
        <v>4</v>
      </c>
      <c r="G790" s="62"/>
      <c r="H790" s="83"/>
    </row>
    <row r="791" spans="1:8" ht="25.5">
      <c r="A791" s="72"/>
      <c r="B791" s="73"/>
      <c r="C791" s="198"/>
      <c r="D791" s="199">
        <v>9202250102</v>
      </c>
      <c r="E791" s="71" t="s">
        <v>479</v>
      </c>
      <c r="F791" s="61"/>
      <c r="G791" s="62" t="s">
        <v>33</v>
      </c>
      <c r="H791" s="83">
        <v>14</v>
      </c>
    </row>
    <row r="792" spans="1:8">
      <c r="A792" s="72"/>
      <c r="B792" s="73"/>
      <c r="C792" s="198"/>
      <c r="D792" s="199"/>
      <c r="E792" s="168" t="s">
        <v>1382</v>
      </c>
      <c r="F792" s="603">
        <v>5</v>
      </c>
      <c r="G792" s="62"/>
      <c r="H792" s="83"/>
    </row>
    <row r="793" spans="1:8">
      <c r="A793" s="72"/>
      <c r="B793" s="73"/>
      <c r="C793" s="198"/>
      <c r="D793" s="199"/>
      <c r="E793" s="168" t="s">
        <v>1383</v>
      </c>
      <c r="F793" s="603">
        <v>1</v>
      </c>
      <c r="G793" s="62"/>
      <c r="H793" s="83"/>
    </row>
    <row r="794" spans="1:8">
      <c r="A794" s="72"/>
      <c r="B794" s="73"/>
      <c r="C794" s="198"/>
      <c r="D794" s="199"/>
      <c r="E794" s="168" t="s">
        <v>1384</v>
      </c>
      <c r="F794" s="603">
        <v>4</v>
      </c>
      <c r="G794" s="62"/>
      <c r="H794" s="83"/>
    </row>
    <row r="795" spans="1:8">
      <c r="A795" s="72"/>
      <c r="B795" s="73"/>
      <c r="C795" s="198"/>
      <c r="D795" s="199"/>
      <c r="E795" s="168" t="s">
        <v>1385</v>
      </c>
      <c r="F795" s="705">
        <v>4</v>
      </c>
      <c r="G795" s="62"/>
      <c r="H795" s="83"/>
    </row>
    <row r="796" spans="1:8">
      <c r="A796" s="72"/>
      <c r="B796" s="73"/>
      <c r="C796" s="198"/>
      <c r="D796" s="199"/>
      <c r="E796" s="168"/>
      <c r="F796" s="706">
        <f>SUM(F792:F795)</f>
        <v>14</v>
      </c>
      <c r="G796" s="62"/>
      <c r="H796" s="83"/>
    </row>
    <row r="797" spans="1:8" ht="25.5">
      <c r="A797" s="72"/>
      <c r="B797" s="73"/>
      <c r="C797" s="198"/>
      <c r="D797" s="199">
        <v>9202250104</v>
      </c>
      <c r="E797" s="71" t="s">
        <v>722</v>
      </c>
      <c r="F797" s="61"/>
      <c r="G797" s="62" t="s">
        <v>33</v>
      </c>
      <c r="H797" s="83">
        <v>14</v>
      </c>
    </row>
    <row r="798" spans="1:8">
      <c r="A798" s="72"/>
      <c r="B798" s="73"/>
      <c r="C798" s="198"/>
      <c r="D798" s="199"/>
      <c r="E798" s="168" t="s">
        <v>1387</v>
      </c>
      <c r="F798" s="603">
        <v>14</v>
      </c>
      <c r="G798" s="62"/>
      <c r="H798" s="83"/>
    </row>
    <row r="799" spans="1:8" ht="25.5">
      <c r="A799" s="72"/>
      <c r="B799" s="73"/>
      <c r="C799" s="198"/>
      <c r="D799" s="199">
        <v>9202250111</v>
      </c>
      <c r="E799" s="71" t="s">
        <v>743</v>
      </c>
      <c r="F799" s="61"/>
      <c r="G799" s="62" t="s">
        <v>33</v>
      </c>
      <c r="H799" s="83">
        <v>28</v>
      </c>
    </row>
    <row r="800" spans="1:8">
      <c r="A800" s="72"/>
      <c r="B800" s="125"/>
      <c r="C800" s="125"/>
      <c r="D800" s="601"/>
      <c r="E800" s="168" t="s">
        <v>1382</v>
      </c>
      <c r="F800" s="603">
        <v>10</v>
      </c>
      <c r="G800" s="32"/>
      <c r="H800" s="83"/>
    </row>
    <row r="801" spans="1:21">
      <c r="A801" s="72"/>
      <c r="B801" s="125"/>
      <c r="C801" s="125"/>
      <c r="D801" s="601"/>
      <c r="E801" s="168" t="s">
        <v>1383</v>
      </c>
      <c r="F801" s="603">
        <v>2</v>
      </c>
      <c r="G801" s="32"/>
      <c r="H801" s="83"/>
    </row>
    <row r="802" spans="1:21">
      <c r="A802" s="72"/>
      <c r="B802" s="125"/>
      <c r="C802" s="125"/>
      <c r="D802" s="601"/>
      <c r="E802" s="168" t="s">
        <v>1384</v>
      </c>
      <c r="F802" s="603">
        <v>8</v>
      </c>
      <c r="G802" s="32"/>
      <c r="H802" s="83"/>
    </row>
    <row r="803" spans="1:21">
      <c r="A803" s="72"/>
      <c r="B803" s="125"/>
      <c r="C803" s="125"/>
      <c r="D803" s="601"/>
      <c r="E803" s="168" t="s">
        <v>1385</v>
      </c>
      <c r="F803" s="705">
        <v>8</v>
      </c>
      <c r="G803" s="32"/>
      <c r="H803" s="83"/>
    </row>
    <row r="804" spans="1:21">
      <c r="A804" s="72"/>
      <c r="B804" s="125"/>
      <c r="C804" s="125"/>
      <c r="D804" s="601"/>
      <c r="E804" s="168"/>
      <c r="F804" s="706">
        <f>SUM(F800:F803)</f>
        <v>28</v>
      </c>
      <c r="G804" s="32"/>
      <c r="H804" s="83"/>
    </row>
    <row r="805" spans="1:21">
      <c r="A805" s="72"/>
      <c r="B805" s="73"/>
      <c r="C805" s="66"/>
      <c r="D805" s="67"/>
      <c r="E805" s="84"/>
      <c r="F805" s="90"/>
      <c r="G805" s="62"/>
      <c r="H805" s="99"/>
    </row>
    <row r="806" spans="1:21" ht="15.75" thickBot="1">
      <c r="A806" s="106"/>
      <c r="B806" s="107"/>
      <c r="C806" s="107"/>
      <c r="D806" s="107"/>
      <c r="E806" s="108"/>
      <c r="F806" s="109"/>
      <c r="G806" s="107"/>
      <c r="H806" s="110"/>
    </row>
    <row r="807" spans="1:21" ht="15.75">
      <c r="E807" s="6"/>
      <c r="F807" s="112"/>
      <c r="H807" s="8"/>
      <c r="Q807" s="223"/>
      <c r="U807" s="703"/>
    </row>
  </sheetData>
  <sheetProtection algorithmName="SHA-512" hashValue="hFdHNLhEq9ZFhJoVYWOZutGxbgzYb3sgF+61gd/w+tVs3nU8mzMjIfuocow4rwwCxfXo/0leL+acqXHXWA8h6A==" saltValue="v3oACjWrfrohUeVEPl105w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E7F71-A890-4D1A-89A8-2F1FBF3C8F94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3167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ad0GdE9MM2uCuJ5buuX+nCBgMzrXAt/Jz+oGjTKkv1NLUP34ttm1KGieoCEybFSNH6x605Fu7Asw2HyIbA3eCw==" saltValue="MC43MC+j5h/mW7nqVwZD1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BF85F-F683-429F-AAFC-E265D4E36149}">
  <sheetPr codeName="Hárok48"/>
  <dimension ref="A1:J154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3060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3.38</v>
      </c>
    </row>
    <row r="9" spans="1:8">
      <c r="A9" s="47"/>
      <c r="B9" s="24"/>
      <c r="C9" s="25"/>
      <c r="D9" s="26"/>
      <c r="E9" s="27"/>
      <c r="F9" s="144">
        <f>F65</f>
        <v>3.375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94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53</v>
      </c>
    </row>
    <row r="25" spans="1:8">
      <c r="A25" s="145"/>
      <c r="B25" s="43"/>
      <c r="C25" s="36"/>
      <c r="D25" s="37"/>
      <c r="E25" s="168" t="s">
        <v>2895</v>
      </c>
      <c r="F25" s="603">
        <v>34</v>
      </c>
      <c r="G25" s="130"/>
      <c r="H25" s="64"/>
    </row>
    <row r="26" spans="1:8">
      <c r="A26" s="145"/>
      <c r="B26" s="43"/>
      <c r="C26" s="36"/>
      <c r="D26" s="37"/>
      <c r="E26" s="168" t="s">
        <v>3061</v>
      </c>
      <c r="F26" s="603">
        <v>16</v>
      </c>
      <c r="G26" s="130"/>
      <c r="H26" s="64"/>
    </row>
    <row r="27" spans="1:8">
      <c r="A27" s="145"/>
      <c r="B27" s="43"/>
      <c r="C27" s="36"/>
      <c r="D27" s="37"/>
      <c r="E27" s="168" t="s">
        <v>2942</v>
      </c>
      <c r="F27" s="705">
        <v>3</v>
      </c>
      <c r="G27" s="130"/>
      <c r="H27" s="64"/>
    </row>
    <row r="28" spans="1:8">
      <c r="A28" s="145"/>
      <c r="B28" s="43"/>
      <c r="C28" s="36"/>
      <c r="D28" s="37"/>
      <c r="E28" s="168" t="s">
        <v>1130</v>
      </c>
      <c r="F28" s="706">
        <f>SUM(F25:F27)</f>
        <v>53</v>
      </c>
      <c r="G28" s="130"/>
      <c r="H28" s="64"/>
    </row>
    <row r="29" spans="1:8" customFormat="1" ht="38.25">
      <c r="A29" s="145"/>
      <c r="B29" s="73"/>
      <c r="C29" s="66"/>
      <c r="D29" s="67" t="s">
        <v>491</v>
      </c>
      <c r="E29" s="71" t="s">
        <v>492</v>
      </c>
      <c r="F29" s="61"/>
      <c r="G29" s="62" t="s">
        <v>33</v>
      </c>
      <c r="H29" s="83">
        <v>41</v>
      </c>
    </row>
    <row r="30" spans="1:8" customFormat="1" ht="15">
      <c r="A30" s="145"/>
      <c r="B30" s="125"/>
      <c r="C30" s="125"/>
      <c r="D30" s="601"/>
      <c r="E30" s="168" t="s">
        <v>2896</v>
      </c>
      <c r="F30" s="603">
        <v>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1131</v>
      </c>
      <c r="F31" s="603">
        <v>6</v>
      </c>
      <c r="G31" s="32"/>
      <c r="H31" s="83"/>
    </row>
    <row r="32" spans="1:8" customFormat="1" ht="15">
      <c r="A32" s="145"/>
      <c r="B32" s="125"/>
      <c r="C32" s="125"/>
      <c r="D32" s="601"/>
      <c r="E32" s="168" t="s">
        <v>2897</v>
      </c>
      <c r="F32" s="603">
        <v>7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2898</v>
      </c>
      <c r="F33" s="603">
        <v>7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2899</v>
      </c>
      <c r="F34" s="603">
        <v>10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2947</v>
      </c>
      <c r="F35" s="603">
        <v>2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2948</v>
      </c>
      <c r="F36" s="603">
        <v>6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2949</v>
      </c>
      <c r="F37" s="705">
        <v>2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1130</v>
      </c>
      <c r="F38" s="706">
        <f>SUM(F30:F37)</f>
        <v>41</v>
      </c>
      <c r="G38" s="32"/>
      <c r="H38" s="83"/>
    </row>
    <row r="39" spans="1:8" customFormat="1" ht="15">
      <c r="A39" s="145"/>
      <c r="B39" s="125"/>
      <c r="C39" s="125"/>
      <c r="D39" s="601"/>
      <c r="E39" s="168"/>
      <c r="F39" s="603"/>
      <c r="G39" s="32"/>
      <c r="H39" s="83"/>
    </row>
    <row r="40" spans="1:8" customFormat="1" ht="25.5">
      <c r="A40" s="34">
        <f>MAX(A$1:A39)+1</f>
        <v>6</v>
      </c>
      <c r="B40" s="125"/>
      <c r="C40" s="36" t="s">
        <v>115</v>
      </c>
      <c r="D40" s="37"/>
      <c r="E40" s="38" t="s">
        <v>116</v>
      </c>
      <c r="F40" s="39"/>
      <c r="G40" s="40" t="s">
        <v>33</v>
      </c>
      <c r="H40" s="64">
        <v>18</v>
      </c>
    </row>
    <row r="41" spans="1:8" customFormat="1" ht="25.5">
      <c r="A41" s="145"/>
      <c r="B41" s="125"/>
      <c r="C41" s="125"/>
      <c r="D41" s="67" t="s">
        <v>2901</v>
      </c>
      <c r="E41" s="71" t="s">
        <v>2902</v>
      </c>
      <c r="F41" s="61"/>
      <c r="G41" s="62" t="s">
        <v>33</v>
      </c>
      <c r="H41" s="83">
        <v>18</v>
      </c>
    </row>
    <row r="42" spans="1:8" customFormat="1" ht="15">
      <c r="A42" s="145"/>
      <c r="B42" s="125"/>
      <c r="C42" s="125"/>
      <c r="D42" s="67"/>
      <c r="E42" s="168" t="s">
        <v>2952</v>
      </c>
      <c r="F42" s="603">
        <v>2</v>
      </c>
      <c r="G42" s="62"/>
      <c r="H42" s="83"/>
    </row>
    <row r="43" spans="1:8" customFormat="1" ht="15">
      <c r="A43" s="145"/>
      <c r="B43" s="125"/>
      <c r="C43" s="125"/>
      <c r="D43" s="67"/>
      <c r="E43" s="168" t="s">
        <v>2953</v>
      </c>
      <c r="F43" s="603">
        <v>6</v>
      </c>
      <c r="G43" s="62"/>
      <c r="H43" s="83"/>
    </row>
    <row r="44" spans="1:8" customFormat="1" ht="15">
      <c r="A44" s="145"/>
      <c r="B44" s="125"/>
      <c r="C44" s="125"/>
      <c r="D44" s="601"/>
      <c r="E44" s="168" t="s">
        <v>2903</v>
      </c>
      <c r="F44" s="603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2954</v>
      </c>
      <c r="F45" s="603">
        <v>2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2906</v>
      </c>
      <c r="F46" s="603">
        <v>2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2907</v>
      </c>
      <c r="F47" s="603">
        <v>1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2955</v>
      </c>
      <c r="F48" s="603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2956</v>
      </c>
      <c r="F49" s="603">
        <v>2</v>
      </c>
      <c r="G49" s="32"/>
      <c r="H49" s="83"/>
    </row>
    <row r="50" spans="1:8" customFormat="1" ht="15">
      <c r="A50" s="145"/>
      <c r="B50" s="125"/>
      <c r="C50" s="125"/>
      <c r="D50" s="601"/>
      <c r="E50" s="168" t="s">
        <v>3062</v>
      </c>
      <c r="F50" s="705">
        <v>1</v>
      </c>
      <c r="G50" s="32"/>
      <c r="H50" s="83"/>
    </row>
    <row r="51" spans="1:8" customFormat="1" ht="15">
      <c r="A51" s="145"/>
      <c r="B51" s="125"/>
      <c r="C51" s="125"/>
      <c r="D51" s="601"/>
      <c r="E51" s="168" t="s">
        <v>1130</v>
      </c>
      <c r="F51" s="706">
        <f>SUM(F42:F50)</f>
        <v>18</v>
      </c>
      <c r="G51" s="32"/>
      <c r="H51" s="83"/>
    </row>
    <row r="52" spans="1:8" customFormat="1" ht="15">
      <c r="A52" s="145"/>
      <c r="B52" s="125"/>
      <c r="C52" s="125"/>
      <c r="D52" s="601"/>
      <c r="E52" s="168"/>
      <c r="F52" s="603"/>
      <c r="G52" s="32"/>
      <c r="H52" s="83"/>
    </row>
    <row r="53" spans="1:8" customFormat="1" ht="15">
      <c r="A53" s="34">
        <f>MAX(A$1:A52)+1</f>
        <v>7</v>
      </c>
      <c r="B53" s="125"/>
      <c r="C53" s="36" t="s">
        <v>37</v>
      </c>
      <c r="D53" s="37"/>
      <c r="E53" s="38" t="s">
        <v>38</v>
      </c>
      <c r="F53" s="39"/>
      <c r="G53" s="40" t="s">
        <v>15</v>
      </c>
      <c r="H53" s="64">
        <v>0.18</v>
      </c>
    </row>
    <row r="54" spans="1:8" customFormat="1" ht="15">
      <c r="A54" s="145"/>
      <c r="B54" s="125"/>
      <c r="C54" s="31"/>
      <c r="D54" s="67" t="s">
        <v>39</v>
      </c>
      <c r="E54" s="71" t="s">
        <v>40</v>
      </c>
      <c r="F54" s="61"/>
      <c r="G54" s="62" t="s">
        <v>15</v>
      </c>
      <c r="H54" s="83">
        <v>0.18</v>
      </c>
    </row>
    <row r="55" spans="1:8" customFormat="1" ht="15">
      <c r="A55" s="145"/>
      <c r="B55" s="125"/>
      <c r="C55" s="31"/>
      <c r="D55" s="32"/>
      <c r="E55" s="168" t="s">
        <v>2736</v>
      </c>
      <c r="F55" s="170">
        <v>0.18</v>
      </c>
      <c r="G55" s="29"/>
      <c r="H55" s="30"/>
    </row>
    <row r="56" spans="1:8" customFormat="1" ht="15">
      <c r="A56" s="145"/>
      <c r="B56" s="125"/>
      <c r="C56" s="125"/>
      <c r="D56" s="601"/>
      <c r="E56" s="193"/>
      <c r="F56" s="603"/>
      <c r="G56" s="32"/>
      <c r="H56" s="83"/>
    </row>
    <row r="57" spans="1:8" customFormat="1" ht="15">
      <c r="A57" s="145"/>
      <c r="B57" s="35" t="s">
        <v>72</v>
      </c>
      <c r="C57" s="93"/>
      <c r="D57" s="94"/>
      <c r="E57" s="50" t="s">
        <v>73</v>
      </c>
      <c r="F57" s="100"/>
      <c r="G57" s="101"/>
      <c r="H57" s="83"/>
    </row>
    <row r="58" spans="1:8" customFormat="1" ht="15">
      <c r="A58" s="145"/>
      <c r="B58" s="125"/>
      <c r="C58" s="125"/>
      <c r="D58" s="601"/>
      <c r="E58" s="168"/>
      <c r="F58" s="603"/>
      <c r="G58" s="32"/>
      <c r="H58" s="83"/>
    </row>
    <row r="59" spans="1:8" customFormat="1" ht="15">
      <c r="A59" s="34">
        <f>MAX(A$1:A58)+1</f>
        <v>8</v>
      </c>
      <c r="B59" s="125"/>
      <c r="C59" s="36" t="s">
        <v>74</v>
      </c>
      <c r="D59" s="37"/>
      <c r="E59" s="38" t="s">
        <v>75</v>
      </c>
      <c r="F59" s="39"/>
      <c r="G59" s="40" t="s">
        <v>18</v>
      </c>
      <c r="H59" s="64">
        <v>3.38</v>
      </c>
    </row>
    <row r="60" spans="1:8" customFormat="1" ht="15">
      <c r="A60" s="145"/>
      <c r="B60" s="125"/>
      <c r="C60" s="125"/>
      <c r="D60" s="67" t="s">
        <v>76</v>
      </c>
      <c r="E60" s="71" t="s">
        <v>77</v>
      </c>
      <c r="F60" s="61"/>
      <c r="G60" s="62" t="s">
        <v>18</v>
      </c>
      <c r="H60" s="83">
        <v>3.38</v>
      </c>
    </row>
    <row r="61" spans="1:8" customFormat="1" ht="15">
      <c r="A61" s="145"/>
      <c r="B61" s="125"/>
      <c r="C61" s="125"/>
      <c r="D61" s="601"/>
      <c r="E61" s="168" t="s">
        <v>3063</v>
      </c>
      <c r="F61" s="603">
        <f>1.5*1.5*1.5</f>
        <v>3.375</v>
      </c>
      <c r="G61" s="32"/>
      <c r="H61" s="83"/>
    </row>
    <row r="62" spans="1:8" customFormat="1" ht="15">
      <c r="A62" s="145"/>
      <c r="B62" s="125"/>
      <c r="C62" s="125"/>
      <c r="D62" s="601"/>
      <c r="E62" s="168"/>
      <c r="F62" s="603"/>
      <c r="G62" s="32"/>
      <c r="H62" s="83"/>
    </row>
    <row r="63" spans="1:8" customFormat="1" ht="15">
      <c r="A63" s="34">
        <f>MAX(A$1:A62)+1</f>
        <v>9</v>
      </c>
      <c r="B63" s="31"/>
      <c r="C63" s="36" t="s">
        <v>58</v>
      </c>
      <c r="D63" s="248"/>
      <c r="E63" s="38" t="s">
        <v>59</v>
      </c>
      <c r="F63" s="78"/>
      <c r="G63" s="40" t="s">
        <v>18</v>
      </c>
      <c r="H63" s="64">
        <v>3.38</v>
      </c>
    </row>
    <row r="64" spans="1:8" customFormat="1" ht="15">
      <c r="A64" s="145"/>
      <c r="B64" s="31"/>
      <c r="C64" s="66"/>
      <c r="D64" s="242" t="s">
        <v>60</v>
      </c>
      <c r="E64" s="71" t="s">
        <v>61</v>
      </c>
      <c r="F64" s="28"/>
      <c r="G64" s="62" t="s">
        <v>18</v>
      </c>
      <c r="H64" s="83">
        <v>3.38</v>
      </c>
    </row>
    <row r="65" spans="1:8" customFormat="1" ht="15">
      <c r="A65" s="145"/>
      <c r="B65" s="31"/>
      <c r="C65" s="66"/>
      <c r="D65" s="242"/>
      <c r="E65" s="157" t="s">
        <v>2741</v>
      </c>
      <c r="F65" s="144">
        <f>F69</f>
        <v>3.375</v>
      </c>
      <c r="G65" s="62"/>
      <c r="H65" s="83"/>
    </row>
    <row r="66" spans="1:8" customFormat="1" ht="15">
      <c r="A66" s="145"/>
      <c r="B66" s="31"/>
      <c r="C66" s="66"/>
      <c r="D66" s="242"/>
      <c r="E66" s="157"/>
      <c r="F66" s="144"/>
      <c r="G66" s="62"/>
      <c r="H66" s="83"/>
    </row>
    <row r="67" spans="1:8" customFormat="1" ht="15">
      <c r="A67" s="34">
        <f>MAX(A$1:A66)+1</f>
        <v>10</v>
      </c>
      <c r="B67" s="43"/>
      <c r="C67" s="36" t="s">
        <v>50</v>
      </c>
      <c r="D67" s="37"/>
      <c r="E67" s="38" t="s">
        <v>51</v>
      </c>
      <c r="F67" s="39"/>
      <c r="G67" s="40" t="s">
        <v>18</v>
      </c>
      <c r="H67" s="64">
        <v>3.38</v>
      </c>
    </row>
    <row r="68" spans="1:8" customFormat="1" ht="25.5">
      <c r="A68" s="145"/>
      <c r="B68" s="73"/>
      <c r="C68" s="66"/>
      <c r="D68" s="67" t="s">
        <v>138</v>
      </c>
      <c r="E68" s="71" t="s">
        <v>139</v>
      </c>
      <c r="F68" s="61"/>
      <c r="G68" s="62" t="s">
        <v>18</v>
      </c>
      <c r="H68" s="83">
        <v>3.38</v>
      </c>
    </row>
    <row r="69" spans="1:8" customFormat="1" ht="25.5">
      <c r="A69" s="145"/>
      <c r="B69" s="31"/>
      <c r="C69" s="31"/>
      <c r="D69" s="32"/>
      <c r="E69" s="168" t="s">
        <v>3064</v>
      </c>
      <c r="F69" s="170">
        <f>1.5*1.5*1.5</f>
        <v>3.375</v>
      </c>
      <c r="G69" s="29"/>
      <c r="H69" s="83"/>
    </row>
    <row r="70" spans="1:8" customFormat="1" ht="15">
      <c r="A70" s="145"/>
      <c r="B70" s="31"/>
      <c r="C70" s="31"/>
      <c r="D70" s="32"/>
      <c r="E70" s="168"/>
      <c r="F70" s="172"/>
      <c r="G70" s="29"/>
      <c r="H70" s="83"/>
    </row>
    <row r="71" spans="1:8" customFormat="1" ht="15">
      <c r="A71" s="145"/>
      <c r="B71" s="35" t="s">
        <v>2749</v>
      </c>
      <c r="C71" s="35"/>
      <c r="D71" s="94"/>
      <c r="E71" s="50" t="s">
        <v>2750</v>
      </c>
      <c r="F71" s="28"/>
      <c r="G71" s="29"/>
      <c r="H71" s="83"/>
    </row>
    <row r="72" spans="1:8" customFormat="1" ht="15">
      <c r="A72" s="145"/>
      <c r="B72" s="31"/>
      <c r="C72" s="31"/>
      <c r="D72" s="32"/>
      <c r="E72" s="33"/>
      <c r="F72" s="28"/>
      <c r="G72" s="29"/>
      <c r="H72" s="83"/>
    </row>
    <row r="73" spans="1:8" customFormat="1" ht="15">
      <c r="A73" s="34">
        <f>MAX(A$1:A72)+1</f>
        <v>11</v>
      </c>
      <c r="B73" s="31"/>
      <c r="C73" s="36" t="s">
        <v>418</v>
      </c>
      <c r="D73" s="37"/>
      <c r="E73" s="38" t="s">
        <v>419</v>
      </c>
      <c r="F73" s="39"/>
      <c r="G73" s="40" t="s">
        <v>18</v>
      </c>
      <c r="H73" s="64">
        <v>3.38</v>
      </c>
    </row>
    <row r="74" spans="1:8" customFormat="1" ht="15">
      <c r="A74" s="145"/>
      <c r="B74" s="31"/>
      <c r="C74" s="31"/>
      <c r="D74" s="191" t="s">
        <v>2751</v>
      </c>
      <c r="E74" s="193" t="s">
        <v>2752</v>
      </c>
      <c r="F74" s="192"/>
      <c r="G74" s="32" t="s">
        <v>18</v>
      </c>
      <c r="H74" s="83">
        <v>3.38</v>
      </c>
    </row>
    <row r="75" spans="1:8" customFormat="1" ht="15">
      <c r="A75" s="145"/>
      <c r="B75" s="31"/>
      <c r="C75" s="31"/>
      <c r="D75" s="191"/>
      <c r="E75" s="168" t="s">
        <v>3065</v>
      </c>
      <c r="F75" s="603">
        <f>1.5*1.5*1.5</f>
        <v>3.375</v>
      </c>
      <c r="G75" s="32"/>
      <c r="H75" s="83"/>
    </row>
    <row r="76" spans="1:8" customFormat="1" ht="15">
      <c r="A76" s="145"/>
      <c r="B76" s="31"/>
      <c r="C76" s="31"/>
      <c r="D76" s="32"/>
      <c r="E76" s="33"/>
      <c r="F76" s="28"/>
      <c r="G76" s="29"/>
      <c r="H76" s="83"/>
    </row>
    <row r="77" spans="1:8" customFormat="1" ht="15">
      <c r="A77" s="34">
        <f>MAX(A$1:A76)+1</f>
        <v>12</v>
      </c>
      <c r="B77" s="31"/>
      <c r="C77" s="36" t="s">
        <v>2754</v>
      </c>
      <c r="D77" s="37"/>
      <c r="E77" s="38" t="s">
        <v>2755</v>
      </c>
      <c r="F77" s="39"/>
      <c r="G77" s="40" t="s">
        <v>21</v>
      </c>
      <c r="H77" s="64">
        <v>2.25</v>
      </c>
    </row>
    <row r="78" spans="1:8" customFormat="1" ht="15">
      <c r="A78" s="145"/>
      <c r="B78" s="31"/>
      <c r="C78" s="31"/>
      <c r="D78" s="67" t="s">
        <v>2756</v>
      </c>
      <c r="E78" s="71" t="s">
        <v>2757</v>
      </c>
      <c r="F78" s="61"/>
      <c r="G78" s="62" t="s">
        <v>21</v>
      </c>
      <c r="H78" s="83">
        <v>2.25</v>
      </c>
    </row>
    <row r="79" spans="1:8" customFormat="1" ht="15">
      <c r="A79" s="145"/>
      <c r="B79" s="31"/>
      <c r="C79" s="31"/>
      <c r="D79" s="67"/>
      <c r="E79" s="168" t="s">
        <v>3066</v>
      </c>
      <c r="F79" s="603">
        <f>1.5*1.5</f>
        <v>2.25</v>
      </c>
      <c r="G79" s="62"/>
      <c r="H79" s="83"/>
    </row>
    <row r="80" spans="1:8" customFormat="1" ht="15">
      <c r="A80" s="145"/>
      <c r="B80" s="125"/>
      <c r="C80" s="125"/>
      <c r="D80" s="601"/>
      <c r="E80" s="193"/>
      <c r="F80" s="603"/>
      <c r="G80" s="32"/>
      <c r="H80" s="83"/>
    </row>
    <row r="81" spans="1:8" customFormat="1" ht="15">
      <c r="A81" s="95"/>
      <c r="B81" s="35" t="s">
        <v>621</v>
      </c>
      <c r="C81" s="35"/>
      <c r="D81" s="94"/>
      <c r="E81" s="50" t="s">
        <v>622</v>
      </c>
      <c r="F81" s="100"/>
      <c r="G81" s="97"/>
      <c r="H81" s="42"/>
    </row>
    <row r="82" spans="1:8" customFormat="1" ht="15">
      <c r="A82" s="95"/>
      <c r="B82" s="35"/>
      <c r="C82" s="35"/>
      <c r="D82" s="94"/>
      <c r="E82" s="50"/>
      <c r="F82" s="100"/>
      <c r="G82" s="97"/>
      <c r="H82" s="42"/>
    </row>
    <row r="83" spans="1:8" customFormat="1" ht="15">
      <c r="A83" s="34">
        <f>MAX(A$1:A82)+1</f>
        <v>13</v>
      </c>
      <c r="B83" s="35"/>
      <c r="C83" s="195">
        <v>92010101</v>
      </c>
      <c r="D83" s="196"/>
      <c r="E83" s="38" t="s">
        <v>2852</v>
      </c>
      <c r="F83" s="39"/>
      <c r="G83" s="40" t="s">
        <v>33</v>
      </c>
      <c r="H83" s="64">
        <v>2</v>
      </c>
    </row>
    <row r="84" spans="1:8" customFormat="1" ht="15">
      <c r="A84" s="34"/>
      <c r="B84" s="35"/>
      <c r="C84" s="35"/>
      <c r="D84" s="199">
        <v>9201010104</v>
      </c>
      <c r="E84" s="71" t="s">
        <v>2908</v>
      </c>
      <c r="F84" s="61"/>
      <c r="G84" s="62" t="s">
        <v>33</v>
      </c>
      <c r="H84" s="83">
        <v>2</v>
      </c>
    </row>
    <row r="85" spans="1:8" customFormat="1" ht="25.5">
      <c r="A85" s="34"/>
      <c r="B85" s="35"/>
      <c r="C85" s="35"/>
      <c r="D85" s="94"/>
      <c r="E85" s="168" t="s">
        <v>3067</v>
      </c>
      <c r="F85" s="603">
        <v>1</v>
      </c>
      <c r="G85" s="97"/>
      <c r="H85" s="42"/>
    </row>
    <row r="86" spans="1:8" customFormat="1" ht="15">
      <c r="A86" s="34"/>
      <c r="B86" s="35"/>
      <c r="C86" s="35"/>
      <c r="D86" s="94"/>
      <c r="E86" s="168" t="s">
        <v>2910</v>
      </c>
      <c r="F86" s="705">
        <v>1</v>
      </c>
      <c r="G86" s="97"/>
      <c r="H86" s="42"/>
    </row>
    <row r="87" spans="1:8" customFormat="1" ht="15">
      <c r="A87" s="34"/>
      <c r="B87" s="35"/>
      <c r="C87" s="35"/>
      <c r="D87" s="94"/>
      <c r="E87" s="168" t="s">
        <v>1130</v>
      </c>
      <c r="F87" s="706">
        <f>SUM(F85:F86)</f>
        <v>2</v>
      </c>
      <c r="G87" s="97"/>
      <c r="H87" s="42"/>
    </row>
    <row r="88" spans="1:8" customFormat="1" ht="15">
      <c r="A88" s="34"/>
      <c r="B88" s="35"/>
      <c r="C88" s="35"/>
      <c r="D88" s="94"/>
      <c r="E88" s="50"/>
      <c r="F88" s="100"/>
      <c r="G88" s="97"/>
      <c r="H88" s="42"/>
    </row>
    <row r="89" spans="1:8" customFormat="1" ht="15">
      <c r="A89" s="34">
        <f>MAX(A$1:A88)+1</f>
        <v>14</v>
      </c>
      <c r="B89" s="35"/>
      <c r="C89" s="195">
        <v>92010109</v>
      </c>
      <c r="D89" s="196"/>
      <c r="E89" s="38" t="s">
        <v>2855</v>
      </c>
      <c r="F89" s="39"/>
      <c r="G89" s="40" t="s">
        <v>33</v>
      </c>
      <c r="H89" s="64">
        <v>1</v>
      </c>
    </row>
    <row r="90" spans="1:8" customFormat="1" ht="15">
      <c r="A90" s="95"/>
      <c r="B90" s="35"/>
      <c r="C90" s="198"/>
      <c r="D90" s="199">
        <v>9201010902</v>
      </c>
      <c r="E90" s="71" t="s">
        <v>2856</v>
      </c>
      <c r="F90" s="61"/>
      <c r="G90" s="62" t="s">
        <v>33</v>
      </c>
      <c r="H90" s="83">
        <v>1</v>
      </c>
    </row>
    <row r="91" spans="1:8" customFormat="1" ht="15">
      <c r="A91" s="95"/>
      <c r="B91" s="35"/>
      <c r="C91" s="125"/>
      <c r="D91" s="601"/>
      <c r="E91" s="168" t="s">
        <v>2986</v>
      </c>
      <c r="F91" s="603">
        <v>1</v>
      </c>
      <c r="G91" s="32"/>
      <c r="H91" s="83"/>
    </row>
    <row r="92" spans="1:8" customFormat="1" ht="15">
      <c r="A92" s="95"/>
      <c r="B92" s="3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15</v>
      </c>
      <c r="B93" s="125"/>
      <c r="C93" s="195">
        <v>92020105</v>
      </c>
      <c r="D93" s="196"/>
      <c r="E93" s="38" t="s">
        <v>2768</v>
      </c>
      <c r="F93" s="39"/>
      <c r="G93" s="40" t="s">
        <v>36</v>
      </c>
      <c r="H93" s="64">
        <v>57</v>
      </c>
    </row>
    <row r="94" spans="1:8" customFormat="1" ht="25.5">
      <c r="A94" s="34"/>
      <c r="B94" s="125"/>
      <c r="C94" s="125"/>
      <c r="D94" s="199">
        <v>9202010510</v>
      </c>
      <c r="E94" s="71" t="s">
        <v>2912</v>
      </c>
      <c r="F94" s="61"/>
      <c r="G94" s="62" t="s">
        <v>36</v>
      </c>
      <c r="H94" s="83">
        <v>57</v>
      </c>
    </row>
    <row r="95" spans="1:8" customFormat="1" ht="15">
      <c r="A95" s="34"/>
      <c r="B95" s="125"/>
      <c r="C95" s="125"/>
      <c r="D95" s="601"/>
      <c r="E95" s="168" t="s">
        <v>2913</v>
      </c>
      <c r="F95" s="603">
        <v>36</v>
      </c>
      <c r="G95" s="32"/>
      <c r="H95" s="83"/>
    </row>
    <row r="96" spans="1:8" customFormat="1" ht="15">
      <c r="A96" s="34"/>
      <c r="B96" s="125"/>
      <c r="C96" s="125"/>
      <c r="D96" s="601"/>
      <c r="E96" s="168" t="s">
        <v>3068</v>
      </c>
      <c r="F96" s="603">
        <v>18</v>
      </c>
      <c r="G96" s="32"/>
      <c r="H96" s="83"/>
    </row>
    <row r="97" spans="1:10" customFormat="1" ht="15">
      <c r="A97" s="34"/>
      <c r="B97" s="125"/>
      <c r="C97" s="125"/>
      <c r="D97" s="601"/>
      <c r="E97" s="168" t="s">
        <v>2991</v>
      </c>
      <c r="F97" s="705">
        <v>3</v>
      </c>
      <c r="G97" s="32"/>
      <c r="H97" s="83"/>
    </row>
    <row r="98" spans="1:10" customFormat="1" ht="15">
      <c r="A98" s="34"/>
      <c r="B98" s="125"/>
      <c r="C98" s="125"/>
      <c r="D98" s="601"/>
      <c r="E98" s="168" t="s">
        <v>2766</v>
      </c>
      <c r="F98" s="170">
        <f>SUM(F95:F97)</f>
        <v>57</v>
      </c>
      <c r="G98" s="32"/>
      <c r="H98" s="83"/>
    </row>
    <row r="99" spans="1:10" customFormat="1" ht="15">
      <c r="A99" s="34"/>
      <c r="B99" s="125"/>
      <c r="C99" s="125"/>
      <c r="D99" s="601"/>
      <c r="E99" s="193"/>
      <c r="F99" s="603"/>
      <c r="G99" s="32"/>
      <c r="H99" s="83"/>
    </row>
    <row r="100" spans="1:10" customFormat="1" ht="25.5">
      <c r="A100" s="34">
        <f>MAX(A$1:A99)+1</f>
        <v>16</v>
      </c>
      <c r="B100" s="43"/>
      <c r="C100" s="195">
        <v>92020301</v>
      </c>
      <c r="D100" s="196"/>
      <c r="E100" s="38" t="s">
        <v>476</v>
      </c>
      <c r="F100" s="39"/>
      <c r="G100" s="40" t="s">
        <v>33</v>
      </c>
      <c r="H100" s="64">
        <v>20</v>
      </c>
    </row>
    <row r="101" spans="1:10" customFormat="1" ht="25.5">
      <c r="A101" s="72"/>
      <c r="B101" s="73"/>
      <c r="C101" s="198"/>
      <c r="D101" s="199">
        <v>9202030102</v>
      </c>
      <c r="E101" s="71" t="s">
        <v>490</v>
      </c>
      <c r="F101" s="61"/>
      <c r="G101" s="62" t="s">
        <v>33</v>
      </c>
      <c r="H101" s="83">
        <v>20</v>
      </c>
    </row>
    <row r="102" spans="1:10" customFormat="1" ht="15">
      <c r="A102" s="34"/>
      <c r="B102" s="125"/>
      <c r="C102" s="125"/>
      <c r="D102" s="601"/>
      <c r="E102" s="168" t="s">
        <v>2914</v>
      </c>
      <c r="F102" s="603">
        <v>10</v>
      </c>
      <c r="G102" s="32"/>
      <c r="H102" s="83"/>
    </row>
    <row r="103" spans="1:10" customFormat="1" ht="15">
      <c r="A103" s="34"/>
      <c r="B103" s="125"/>
      <c r="C103" s="125"/>
      <c r="D103" s="601"/>
      <c r="E103" s="168" t="s">
        <v>3056</v>
      </c>
      <c r="F103" s="603">
        <v>2</v>
      </c>
      <c r="G103" s="32"/>
      <c r="H103" s="83"/>
    </row>
    <row r="104" spans="1:10" customFormat="1" ht="15">
      <c r="A104" s="34"/>
      <c r="B104" s="125"/>
      <c r="C104" s="125"/>
      <c r="D104" s="601"/>
      <c r="E104" s="168" t="s">
        <v>2993</v>
      </c>
      <c r="F104" s="603">
        <v>6</v>
      </c>
      <c r="G104" s="32"/>
      <c r="H104" s="83"/>
    </row>
    <row r="105" spans="1:10" customFormat="1" ht="15">
      <c r="A105" s="34"/>
      <c r="B105" s="125"/>
      <c r="C105" s="125"/>
      <c r="D105" s="601"/>
      <c r="E105" s="168" t="s">
        <v>2994</v>
      </c>
      <c r="F105" s="705">
        <v>2</v>
      </c>
      <c r="G105" s="32"/>
      <c r="H105" s="83"/>
    </row>
    <row r="106" spans="1:10" customFormat="1" ht="15">
      <c r="A106" s="34"/>
      <c r="B106" s="125"/>
      <c r="C106" s="125"/>
      <c r="D106" s="601"/>
      <c r="E106" s="168" t="s">
        <v>1130</v>
      </c>
      <c r="F106" s="706">
        <f>SUM(F102:F105)</f>
        <v>20</v>
      </c>
      <c r="G106" s="32"/>
      <c r="H106" s="83"/>
    </row>
    <row r="107" spans="1:10" customFormat="1" ht="15">
      <c r="A107" s="34"/>
      <c r="B107" s="125"/>
      <c r="C107" s="125"/>
      <c r="D107" s="601"/>
      <c r="E107" s="168"/>
      <c r="F107" s="603"/>
      <c r="G107" s="32"/>
      <c r="H107" s="83"/>
      <c r="J107" s="208"/>
    </row>
    <row r="108" spans="1:10" customFormat="1" ht="25.5">
      <c r="A108" s="34">
        <f>MAX(A$1:A107)+1</f>
        <v>17</v>
      </c>
      <c r="B108" s="43"/>
      <c r="C108" s="195">
        <v>92020702</v>
      </c>
      <c r="D108" s="196"/>
      <c r="E108" s="38" t="s">
        <v>718</v>
      </c>
      <c r="F108" s="39"/>
      <c r="G108" s="40" t="s">
        <v>33</v>
      </c>
      <c r="H108" s="64">
        <v>7</v>
      </c>
    </row>
    <row r="109" spans="1:10" customFormat="1" ht="25.5">
      <c r="A109" s="72"/>
      <c r="B109" s="73"/>
      <c r="C109" s="198"/>
      <c r="D109" s="199">
        <v>9202070202</v>
      </c>
      <c r="E109" s="71" t="s">
        <v>719</v>
      </c>
      <c r="F109" s="61"/>
      <c r="G109" s="62" t="s">
        <v>33</v>
      </c>
      <c r="H109" s="83">
        <v>7</v>
      </c>
    </row>
    <row r="110" spans="1:10" customFormat="1" ht="15">
      <c r="A110" s="34"/>
      <c r="B110" s="125"/>
      <c r="C110" s="125"/>
      <c r="D110" s="601"/>
      <c r="E110" s="168" t="s">
        <v>1386</v>
      </c>
      <c r="F110" s="603">
        <v>7</v>
      </c>
      <c r="G110" s="32"/>
      <c r="H110" s="83"/>
    </row>
    <row r="111" spans="1:10" customFormat="1" ht="15">
      <c r="A111" s="34"/>
      <c r="B111" s="125"/>
      <c r="C111" s="125"/>
      <c r="D111" s="601"/>
      <c r="E111" s="168"/>
      <c r="F111" s="603"/>
      <c r="G111" s="32"/>
      <c r="H111" s="83"/>
    </row>
    <row r="112" spans="1:10" customFormat="1" ht="25.5">
      <c r="A112" s="34">
        <f>MAX(A$1:A111)+1</f>
        <v>18</v>
      </c>
      <c r="B112" s="125"/>
      <c r="C112" s="195">
        <v>92022501</v>
      </c>
      <c r="D112" s="196"/>
      <c r="E112" s="38" t="s">
        <v>478</v>
      </c>
      <c r="F112" s="39"/>
      <c r="G112" s="40" t="s">
        <v>33</v>
      </c>
      <c r="H112" s="64">
        <v>18</v>
      </c>
    </row>
    <row r="113" spans="1:8" customFormat="1" ht="25.5">
      <c r="A113" s="34"/>
      <c r="B113" s="125"/>
      <c r="C113" s="195"/>
      <c r="D113" s="199">
        <v>9202250102</v>
      </c>
      <c r="E113" s="71" t="s">
        <v>479</v>
      </c>
      <c r="F113" s="61"/>
      <c r="G113" s="62" t="s">
        <v>33</v>
      </c>
      <c r="H113" s="83">
        <v>6</v>
      </c>
    </row>
    <row r="114" spans="1:8" customFormat="1" ht="15">
      <c r="A114" s="34"/>
      <c r="B114" s="125"/>
      <c r="C114" s="195"/>
      <c r="D114" s="199"/>
      <c r="E114" s="168" t="s">
        <v>1385</v>
      </c>
      <c r="F114" s="603">
        <v>2</v>
      </c>
      <c r="G114" s="62"/>
      <c r="H114" s="83"/>
    </row>
    <row r="115" spans="1:8" customFormat="1" ht="15">
      <c r="A115" s="34"/>
      <c r="B115" s="125"/>
      <c r="C115" s="195"/>
      <c r="D115" s="199"/>
      <c r="E115" s="168" t="s">
        <v>2987</v>
      </c>
      <c r="F115" s="603">
        <v>2</v>
      </c>
      <c r="G115" s="62"/>
      <c r="H115" s="83"/>
    </row>
    <row r="116" spans="1:8" customFormat="1" ht="15">
      <c r="A116" s="34"/>
      <c r="B116" s="125"/>
      <c r="C116" s="195"/>
      <c r="D116" s="199"/>
      <c r="E116" s="168" t="s">
        <v>2989</v>
      </c>
      <c r="F116" s="705">
        <v>2</v>
      </c>
      <c r="G116" s="62"/>
      <c r="H116" s="83"/>
    </row>
    <row r="117" spans="1:8" customFormat="1" ht="15">
      <c r="A117" s="34"/>
      <c r="B117" s="125"/>
      <c r="C117" s="195"/>
      <c r="D117" s="199"/>
      <c r="E117" s="168" t="s">
        <v>1130</v>
      </c>
      <c r="F117" s="706">
        <f>SUM(F114:F116)</f>
        <v>6</v>
      </c>
      <c r="G117" s="62"/>
      <c r="H117" s="83"/>
    </row>
    <row r="118" spans="1:8" customFormat="1" ht="25.5">
      <c r="A118" s="34"/>
      <c r="B118" s="125"/>
      <c r="C118" s="125"/>
      <c r="D118" s="199">
        <v>9202250104</v>
      </c>
      <c r="E118" s="71" t="s">
        <v>722</v>
      </c>
      <c r="F118" s="61"/>
      <c r="G118" s="62" t="s">
        <v>33</v>
      </c>
      <c r="H118" s="83">
        <v>6</v>
      </c>
    </row>
    <row r="119" spans="1:8" customFormat="1" ht="15">
      <c r="A119" s="34"/>
      <c r="B119" s="125"/>
      <c r="C119" s="125"/>
      <c r="D119" s="199"/>
      <c r="E119" s="168" t="s">
        <v>3000</v>
      </c>
      <c r="F119" s="603">
        <v>6</v>
      </c>
      <c r="G119" s="62"/>
      <c r="H119" s="83"/>
    </row>
    <row r="120" spans="1:8" customFormat="1" ht="25.5">
      <c r="A120" s="34"/>
      <c r="B120" s="125"/>
      <c r="C120" s="125"/>
      <c r="D120" s="199">
        <v>9202250111</v>
      </c>
      <c r="E120" s="71" t="s">
        <v>743</v>
      </c>
      <c r="F120" s="61"/>
      <c r="G120" s="62" t="s">
        <v>33</v>
      </c>
      <c r="H120" s="83">
        <v>6</v>
      </c>
    </row>
    <row r="121" spans="1:8" customFormat="1" ht="15">
      <c r="A121" s="34"/>
      <c r="B121" s="125"/>
      <c r="C121" s="125"/>
      <c r="D121" s="199"/>
      <c r="E121" s="168" t="s">
        <v>3001</v>
      </c>
      <c r="F121" s="603">
        <v>2</v>
      </c>
      <c r="G121" s="62"/>
      <c r="H121" s="83"/>
    </row>
    <row r="122" spans="1:8" customFormat="1" ht="15">
      <c r="A122" s="34"/>
      <c r="B122" s="125"/>
      <c r="C122" s="125"/>
      <c r="D122" s="199"/>
      <c r="E122" s="168" t="s">
        <v>3002</v>
      </c>
      <c r="F122" s="603">
        <v>2</v>
      </c>
      <c r="G122" s="62"/>
      <c r="H122" s="83"/>
    </row>
    <row r="123" spans="1:8" customFormat="1" ht="15">
      <c r="A123" s="34"/>
      <c r="B123" s="125"/>
      <c r="C123" s="125"/>
      <c r="D123" s="199"/>
      <c r="E123" s="168" t="s">
        <v>3004</v>
      </c>
      <c r="F123" s="705">
        <v>2</v>
      </c>
      <c r="G123" s="62"/>
      <c r="H123" s="83"/>
    </row>
    <row r="124" spans="1:8" customFormat="1" ht="15">
      <c r="A124" s="34"/>
      <c r="B124" s="125"/>
      <c r="C124" s="125"/>
      <c r="D124" s="601"/>
      <c r="E124" s="168" t="s">
        <v>1130</v>
      </c>
      <c r="F124" s="706">
        <f>SUM(F121:F123)</f>
        <v>6</v>
      </c>
      <c r="G124" s="32"/>
      <c r="H124" s="83"/>
    </row>
    <row r="125" spans="1:8" customFormat="1" ht="15">
      <c r="A125" s="34"/>
      <c r="B125" s="125"/>
      <c r="C125" s="125"/>
      <c r="D125" s="199"/>
      <c r="E125" s="168"/>
      <c r="F125" s="603"/>
      <c r="G125" s="62"/>
      <c r="H125" s="83"/>
    </row>
    <row r="126" spans="1:8" customFormat="1" ht="25.5">
      <c r="A126" s="34">
        <f>MAX(A$1:A125)+1</f>
        <v>19</v>
      </c>
      <c r="B126" s="43"/>
      <c r="C126" s="195">
        <v>92022705</v>
      </c>
      <c r="D126" s="196"/>
      <c r="E126" s="38" t="s">
        <v>2784</v>
      </c>
      <c r="F126" s="39"/>
      <c r="G126" s="40" t="s">
        <v>33</v>
      </c>
      <c r="H126" s="64">
        <v>4</v>
      </c>
    </row>
    <row r="127" spans="1:8" customFormat="1" ht="25.5">
      <c r="A127" s="72"/>
      <c r="B127" s="73"/>
      <c r="C127" s="198"/>
      <c r="D127" s="198">
        <v>9202270506</v>
      </c>
      <c r="E127" s="71" t="s">
        <v>2785</v>
      </c>
      <c r="F127" s="61"/>
      <c r="G127" s="62" t="s">
        <v>33</v>
      </c>
      <c r="H127" s="83">
        <v>4</v>
      </c>
    </row>
    <row r="128" spans="1:8" customFormat="1" ht="15">
      <c r="A128" s="34"/>
      <c r="B128" s="125"/>
      <c r="C128" s="125"/>
      <c r="D128" s="601"/>
      <c r="E128" s="168" t="s">
        <v>3005</v>
      </c>
      <c r="F128" s="603">
        <v>2</v>
      </c>
      <c r="G128" s="32"/>
      <c r="H128" s="83"/>
    </row>
    <row r="129" spans="1:8" customFormat="1" ht="15">
      <c r="A129" s="34"/>
      <c r="B129" s="125"/>
      <c r="C129" s="125"/>
      <c r="D129" s="601"/>
      <c r="E129" s="168" t="s">
        <v>2866</v>
      </c>
      <c r="F129" s="603">
        <v>1</v>
      </c>
      <c r="G129" s="32"/>
      <c r="H129" s="83"/>
    </row>
    <row r="130" spans="1:8" customFormat="1" ht="15">
      <c r="A130" s="34"/>
      <c r="B130" s="125"/>
      <c r="C130" s="125"/>
      <c r="D130" s="601"/>
      <c r="E130" s="168" t="s">
        <v>2787</v>
      </c>
      <c r="F130" s="705">
        <v>1</v>
      </c>
      <c r="G130" s="32"/>
      <c r="H130" s="83"/>
    </row>
    <row r="131" spans="1:8" customFormat="1" ht="15">
      <c r="A131" s="34"/>
      <c r="B131" s="125"/>
      <c r="C131" s="125"/>
      <c r="D131" s="601"/>
      <c r="E131" s="168" t="s">
        <v>1130</v>
      </c>
      <c r="F131" s="706">
        <f>SUM(F128:F130)</f>
        <v>4</v>
      </c>
      <c r="G131" s="32"/>
      <c r="H131" s="83"/>
    </row>
    <row r="132" spans="1:8" customFormat="1" ht="15">
      <c r="A132" s="34"/>
      <c r="B132" s="125"/>
      <c r="C132" s="125"/>
      <c r="D132" s="601"/>
      <c r="E132" s="193"/>
      <c r="F132" s="603"/>
      <c r="G132" s="32"/>
      <c r="H132" s="83"/>
    </row>
    <row r="133" spans="1:8" customFormat="1" ht="25.5">
      <c r="A133" s="34">
        <f>MAX(A$1:A132)+1</f>
        <v>20</v>
      </c>
      <c r="B133" s="1259"/>
      <c r="C133" s="195">
        <v>92050305</v>
      </c>
      <c r="D133" s="196"/>
      <c r="E133" s="38" t="s">
        <v>3008</v>
      </c>
      <c r="F133" s="39"/>
      <c r="G133" s="40" t="s">
        <v>33</v>
      </c>
      <c r="H133" s="64">
        <v>3</v>
      </c>
    </row>
    <row r="134" spans="1:8" customFormat="1" ht="25.5">
      <c r="A134" s="34"/>
      <c r="B134" s="1259"/>
      <c r="C134" s="195"/>
      <c r="D134" s="199">
        <v>9205030501</v>
      </c>
      <c r="E134" s="71" t="s">
        <v>3009</v>
      </c>
      <c r="F134" s="61"/>
      <c r="G134" s="62" t="s">
        <v>33</v>
      </c>
      <c r="H134" s="83">
        <v>2</v>
      </c>
    </row>
    <row r="135" spans="1:8" customFormat="1" ht="15">
      <c r="A135" s="34"/>
      <c r="B135" s="1259"/>
      <c r="C135" s="195"/>
      <c r="D135" s="196"/>
      <c r="E135" s="168" t="s">
        <v>3069</v>
      </c>
      <c r="F135" s="603">
        <v>2</v>
      </c>
      <c r="G135" s="40"/>
      <c r="H135" s="64"/>
    </row>
    <row r="136" spans="1:8" customFormat="1" ht="25.5">
      <c r="A136" s="34"/>
      <c r="B136" s="1259"/>
      <c r="C136" s="125"/>
      <c r="D136" s="198">
        <v>9205030508</v>
      </c>
      <c r="E136" s="71" t="s">
        <v>3011</v>
      </c>
      <c r="F136" s="61"/>
      <c r="G136" s="62" t="s">
        <v>33</v>
      </c>
      <c r="H136" s="83">
        <v>1</v>
      </c>
    </row>
    <row r="137" spans="1:8" customFormat="1" ht="15">
      <c r="A137" s="34"/>
      <c r="B137" s="1259"/>
      <c r="C137" s="125"/>
      <c r="D137" s="601"/>
      <c r="E137" s="168" t="s">
        <v>3070</v>
      </c>
      <c r="F137" s="603">
        <v>1</v>
      </c>
      <c r="G137" s="32"/>
      <c r="H137" s="83"/>
    </row>
    <row r="138" spans="1:8" customFormat="1" ht="15">
      <c r="A138" s="34"/>
      <c r="B138" s="1259"/>
      <c r="C138" s="125"/>
      <c r="D138" s="601"/>
      <c r="E138" s="193"/>
      <c r="F138" s="603"/>
      <c r="G138" s="32"/>
      <c r="H138" s="83"/>
    </row>
    <row r="139" spans="1:8" customFormat="1" ht="25.5">
      <c r="A139" s="34">
        <f>MAX(A$1:A138)+1</f>
        <v>21</v>
      </c>
      <c r="B139" s="1259"/>
      <c r="C139" s="36" t="s">
        <v>2920</v>
      </c>
      <c r="D139" s="37"/>
      <c r="E139" s="38" t="s">
        <v>2921</v>
      </c>
      <c r="F139" s="39"/>
      <c r="G139" s="40" t="s">
        <v>33</v>
      </c>
      <c r="H139" s="64">
        <v>6</v>
      </c>
    </row>
    <row r="140" spans="1:8" customFormat="1" ht="25.5">
      <c r="A140" s="34"/>
      <c r="B140" s="1259"/>
      <c r="C140" s="66"/>
      <c r="D140" s="67" t="s">
        <v>2922</v>
      </c>
      <c r="E140" s="71" t="s">
        <v>2923</v>
      </c>
      <c r="F140" s="61"/>
      <c r="G140" s="62" t="s">
        <v>33</v>
      </c>
      <c r="H140" s="1260">
        <v>6</v>
      </c>
    </row>
    <row r="141" spans="1:8" customFormat="1" ht="15">
      <c r="A141" s="34"/>
      <c r="B141" s="1259"/>
      <c r="C141" s="125"/>
      <c r="D141" s="1261"/>
      <c r="E141" s="168" t="s">
        <v>3071</v>
      </c>
      <c r="F141" s="603">
        <v>2</v>
      </c>
      <c r="G141" s="32"/>
      <c r="H141" s="1260"/>
    </row>
    <row r="142" spans="1:8" customFormat="1" ht="15">
      <c r="A142" s="34"/>
      <c r="B142" s="1259"/>
      <c r="C142" s="125"/>
      <c r="D142" s="1261"/>
      <c r="E142" s="168" t="s">
        <v>3072</v>
      </c>
      <c r="F142" s="603">
        <v>2</v>
      </c>
      <c r="G142" s="32"/>
      <c r="H142" s="1260"/>
    </row>
    <row r="143" spans="1:8" customFormat="1" ht="25.5">
      <c r="A143" s="34"/>
      <c r="B143" s="1259"/>
      <c r="C143" s="125"/>
      <c r="D143" s="1261"/>
      <c r="E143" s="168" t="s">
        <v>3073</v>
      </c>
      <c r="F143" s="603">
        <v>1</v>
      </c>
      <c r="G143" s="32"/>
      <c r="H143" s="1260"/>
    </row>
    <row r="144" spans="1:8" customFormat="1" ht="15">
      <c r="A144" s="34"/>
      <c r="B144" s="1259"/>
      <c r="C144" s="125"/>
      <c r="D144" s="1261"/>
      <c r="E144" s="168" t="s">
        <v>3074</v>
      </c>
      <c r="F144" s="705">
        <v>1</v>
      </c>
      <c r="G144" s="32"/>
      <c r="H144" s="1260"/>
    </row>
    <row r="145" spans="1:8" customFormat="1" ht="15">
      <c r="A145" s="34"/>
      <c r="B145" s="1259"/>
      <c r="C145" s="125"/>
      <c r="D145" s="1261"/>
      <c r="E145" s="168" t="s">
        <v>1130</v>
      </c>
      <c r="F145" s="706">
        <f>SUM(F141:F144)</f>
        <v>6</v>
      </c>
      <c r="G145" s="32"/>
      <c r="H145" s="1260"/>
    </row>
    <row r="146" spans="1:8" customFormat="1" ht="15">
      <c r="A146" s="34"/>
      <c r="B146" s="1259"/>
      <c r="C146" s="125"/>
      <c r="D146" s="1261"/>
      <c r="E146" s="168"/>
      <c r="F146" s="603"/>
      <c r="G146" s="32"/>
      <c r="H146" s="1260"/>
    </row>
    <row r="147" spans="1:8" customFormat="1" ht="25.5">
      <c r="A147" s="34">
        <f>MAX(A$1:A146)+1</f>
        <v>22</v>
      </c>
      <c r="B147" s="1259"/>
      <c r="C147" s="36" t="s">
        <v>2928</v>
      </c>
      <c r="D147" s="37"/>
      <c r="E147" s="38" t="s">
        <v>2929</v>
      </c>
      <c r="F147" s="39"/>
      <c r="G147" s="40" t="s">
        <v>33</v>
      </c>
      <c r="H147" s="64">
        <v>7</v>
      </c>
    </row>
    <row r="148" spans="1:8" customFormat="1" ht="38.25">
      <c r="A148" s="34"/>
      <c r="B148" s="1259"/>
      <c r="C148" s="125"/>
      <c r="D148" s="67" t="s">
        <v>2930</v>
      </c>
      <c r="E148" s="71" t="s">
        <v>2931</v>
      </c>
      <c r="F148" s="61"/>
      <c r="G148" s="62" t="s">
        <v>33</v>
      </c>
      <c r="H148" s="1260">
        <v>7</v>
      </c>
    </row>
    <row r="149" spans="1:8" customFormat="1" ht="15">
      <c r="A149" s="34"/>
      <c r="B149" s="1259"/>
      <c r="C149" s="125"/>
      <c r="D149" s="1261"/>
      <c r="E149" s="168" t="s">
        <v>2932</v>
      </c>
      <c r="F149" s="603">
        <v>6</v>
      </c>
      <c r="G149" s="32"/>
      <c r="H149" s="1260"/>
    </row>
    <row r="150" spans="1:8" customFormat="1" ht="15">
      <c r="A150" s="34"/>
      <c r="B150" s="1259"/>
      <c r="C150" s="125"/>
      <c r="D150" s="1261"/>
      <c r="E150" s="168" t="s">
        <v>2933</v>
      </c>
      <c r="F150" s="705">
        <v>1</v>
      </c>
      <c r="G150" s="32"/>
      <c r="H150" s="1260"/>
    </row>
    <row r="151" spans="1:8" customFormat="1" ht="15">
      <c r="A151" s="34"/>
      <c r="B151" s="1259"/>
      <c r="C151" s="125"/>
      <c r="D151" s="1261"/>
      <c r="E151" s="168" t="s">
        <v>1130</v>
      </c>
      <c r="F151" s="706">
        <f>SUM(F149:F150)</f>
        <v>7</v>
      </c>
      <c r="G151" s="32"/>
      <c r="H151" s="1260"/>
    </row>
    <row r="152" spans="1:8" customFormat="1" ht="15">
      <c r="A152" s="95"/>
      <c r="B152" s="35"/>
      <c r="C152" s="125"/>
      <c r="D152" s="601"/>
      <c r="E152" s="168"/>
      <c r="F152" s="603"/>
      <c r="G152" s="32"/>
      <c r="H152" s="83"/>
    </row>
    <row r="153" spans="1:8" ht="15">
      <c r="A153" s="72"/>
      <c r="B153" s="73"/>
      <c r="C153" s="66"/>
      <c r="D153" s="67"/>
      <c r="E153" s="84"/>
      <c r="F153" s="90"/>
      <c r="G153" s="62"/>
      <c r="H153" s="99"/>
    </row>
    <row r="154" spans="1:8" ht="13.5" thickBot="1">
      <c r="A154" s="106"/>
      <c r="B154" s="107"/>
      <c r="C154" s="107"/>
      <c r="D154" s="107"/>
      <c r="E154" s="108"/>
      <c r="F154" s="109"/>
      <c r="G154" s="107"/>
      <c r="H154" s="110"/>
    </row>
  </sheetData>
  <sheetProtection algorithmName="SHA-512" hashValue="4UpdoFjYPcasUbB/sfibU1BOA3kI0f0sljj/XOMtI3F3psCe4Oh7uciivJSKBmMMALYQq4JNqXwkAUAQYMVAEw==" saltValue="YFM5jSxqsXOlBtFIXQ061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DE166-DF29-4645-AD41-8F19AF6028AC}">
  <sheetPr codeName="Hárok49"/>
  <dimension ref="A1:J14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3076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13.5</v>
      </c>
    </row>
    <row r="9" spans="1:8">
      <c r="A9" s="47"/>
      <c r="B9" s="24"/>
      <c r="C9" s="25"/>
      <c r="D9" s="26"/>
      <c r="E9" s="27"/>
      <c r="F9" s="144">
        <f>F60</f>
        <v>13.5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91.5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35.5</v>
      </c>
    </row>
    <row r="25" spans="1:8">
      <c r="A25" s="145"/>
      <c r="B25" s="43"/>
      <c r="C25" s="36"/>
      <c r="D25" s="37"/>
      <c r="E25" s="168" t="s">
        <v>2895</v>
      </c>
      <c r="F25" s="603">
        <v>19.5</v>
      </c>
      <c r="G25" s="130"/>
      <c r="H25" s="64"/>
    </row>
    <row r="26" spans="1:8">
      <c r="A26" s="145"/>
      <c r="B26" s="43"/>
      <c r="C26" s="36"/>
      <c r="D26" s="37"/>
      <c r="E26" s="168" t="s">
        <v>3061</v>
      </c>
      <c r="F26" s="705">
        <v>16</v>
      </c>
      <c r="G26" s="130"/>
      <c r="H26" s="64"/>
    </row>
    <row r="27" spans="1:8">
      <c r="A27" s="145"/>
      <c r="B27" s="43"/>
      <c r="C27" s="36"/>
      <c r="D27" s="37"/>
      <c r="E27" s="168" t="s">
        <v>1130</v>
      </c>
      <c r="F27" s="706">
        <f>SUM(F25:F26)</f>
        <v>35.5</v>
      </c>
      <c r="G27" s="130"/>
      <c r="H27" s="64"/>
    </row>
    <row r="28" spans="1:8" ht="38.25">
      <c r="A28" s="145"/>
      <c r="B28" s="73"/>
      <c r="C28" s="66"/>
      <c r="D28" s="67" t="s">
        <v>491</v>
      </c>
      <c r="E28" s="71" t="s">
        <v>492</v>
      </c>
      <c r="F28" s="61"/>
      <c r="G28" s="62" t="s">
        <v>33</v>
      </c>
      <c r="H28" s="83">
        <v>56</v>
      </c>
    </row>
    <row r="29" spans="1:8">
      <c r="A29" s="145"/>
      <c r="B29" s="125"/>
      <c r="C29" s="125"/>
      <c r="D29" s="601"/>
      <c r="E29" s="168" t="s">
        <v>2896</v>
      </c>
      <c r="F29" s="603">
        <v>4</v>
      </c>
      <c r="G29" s="32"/>
      <c r="H29" s="83"/>
    </row>
    <row r="30" spans="1:8">
      <c r="A30" s="145"/>
      <c r="B30" s="125"/>
      <c r="C30" s="125"/>
      <c r="D30" s="601"/>
      <c r="E30" s="168" t="s">
        <v>1131</v>
      </c>
      <c r="F30" s="603">
        <v>11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2897</v>
      </c>
      <c r="F31" s="603">
        <v>13</v>
      </c>
      <c r="G31" s="32"/>
      <c r="H31" s="83"/>
    </row>
    <row r="32" spans="1:8" customFormat="1" ht="15">
      <c r="A32" s="145"/>
      <c r="B32" s="125"/>
      <c r="C32" s="125"/>
      <c r="D32" s="601"/>
      <c r="E32" s="168" t="s">
        <v>2898</v>
      </c>
      <c r="F32" s="603">
        <v>13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2899</v>
      </c>
      <c r="F33" s="603">
        <v>8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2947</v>
      </c>
      <c r="F34" s="603">
        <v>4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2948</v>
      </c>
      <c r="F35" s="603">
        <v>1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2949</v>
      </c>
      <c r="F36" s="705">
        <v>2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1130</v>
      </c>
      <c r="F37" s="706">
        <f>SUM(F29:F36)</f>
        <v>56</v>
      </c>
      <c r="G37" s="32"/>
      <c r="H37" s="83"/>
    </row>
    <row r="38" spans="1:8" customFormat="1" ht="15">
      <c r="A38" s="145"/>
      <c r="B38" s="125"/>
      <c r="C38" s="125"/>
      <c r="D38" s="601"/>
      <c r="E38" s="168"/>
      <c r="F38" s="603"/>
      <c r="G38" s="32"/>
      <c r="H38" s="83"/>
    </row>
    <row r="39" spans="1:8" customFormat="1" ht="25.5">
      <c r="A39" s="34">
        <f>MAX(A$1:A38)+1</f>
        <v>6</v>
      </c>
      <c r="B39" s="125"/>
      <c r="C39" s="36" t="s">
        <v>115</v>
      </c>
      <c r="D39" s="37"/>
      <c r="E39" s="38" t="s">
        <v>116</v>
      </c>
      <c r="F39" s="39"/>
      <c r="G39" s="40" t="s">
        <v>33</v>
      </c>
      <c r="H39" s="64">
        <v>10</v>
      </c>
    </row>
    <row r="40" spans="1:8" customFormat="1" ht="25.5">
      <c r="A40" s="145"/>
      <c r="B40" s="125"/>
      <c r="C40" s="125"/>
      <c r="D40" s="67" t="s">
        <v>2901</v>
      </c>
      <c r="E40" s="71" t="s">
        <v>2902</v>
      </c>
      <c r="F40" s="61"/>
      <c r="G40" s="62" t="s">
        <v>33</v>
      </c>
      <c r="H40" s="83">
        <v>10</v>
      </c>
    </row>
    <row r="41" spans="1:8" customFormat="1" ht="15">
      <c r="A41" s="145"/>
      <c r="B41" s="125"/>
      <c r="C41" s="125"/>
      <c r="D41" s="601"/>
      <c r="E41" s="168" t="s">
        <v>2903</v>
      </c>
      <c r="F41" s="603">
        <v>4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2906</v>
      </c>
      <c r="F42" s="603">
        <v>1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2907</v>
      </c>
      <c r="F43" s="603">
        <v>1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2955</v>
      </c>
      <c r="F44" s="603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3062</v>
      </c>
      <c r="F45" s="705">
        <v>3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1130</v>
      </c>
      <c r="F46" s="706">
        <f>SUM(F41:F45)</f>
        <v>10</v>
      </c>
      <c r="G46" s="32"/>
      <c r="H46" s="83"/>
    </row>
    <row r="47" spans="1:8" customFormat="1" ht="15">
      <c r="A47" s="145"/>
      <c r="B47" s="125"/>
      <c r="C47" s="125"/>
      <c r="D47" s="601"/>
      <c r="E47" s="168"/>
      <c r="F47" s="603"/>
      <c r="G47" s="32"/>
      <c r="H47" s="83"/>
    </row>
    <row r="48" spans="1:8" customFormat="1" ht="15">
      <c r="A48" s="34">
        <f>MAX(A$1:A47)+1</f>
        <v>7</v>
      </c>
      <c r="B48" s="125"/>
      <c r="C48" s="36" t="s">
        <v>37</v>
      </c>
      <c r="D48" s="37"/>
      <c r="E48" s="38" t="s">
        <v>38</v>
      </c>
      <c r="F48" s="39"/>
      <c r="G48" s="40" t="s">
        <v>15</v>
      </c>
      <c r="H48" s="64">
        <v>0.76</v>
      </c>
    </row>
    <row r="49" spans="1:8" customFormat="1" ht="15">
      <c r="A49" s="145"/>
      <c r="B49" s="125"/>
      <c r="C49" s="31"/>
      <c r="D49" s="67" t="s">
        <v>39</v>
      </c>
      <c r="E49" s="71" t="s">
        <v>40</v>
      </c>
      <c r="F49" s="61"/>
      <c r="G49" s="62" t="s">
        <v>15</v>
      </c>
      <c r="H49" s="83">
        <v>0.76</v>
      </c>
    </row>
    <row r="50" spans="1:8" customFormat="1" ht="15">
      <c r="A50" s="145"/>
      <c r="B50" s="125"/>
      <c r="C50" s="31"/>
      <c r="D50" s="32"/>
      <c r="E50" s="168" t="s">
        <v>2736</v>
      </c>
      <c r="F50" s="170">
        <v>0.76</v>
      </c>
      <c r="G50" s="29"/>
      <c r="H50" s="30"/>
    </row>
    <row r="51" spans="1:8" customFormat="1" ht="15">
      <c r="A51" s="145"/>
      <c r="B51" s="125"/>
      <c r="C51" s="125"/>
      <c r="D51" s="601"/>
      <c r="E51" s="193"/>
      <c r="F51" s="603"/>
      <c r="G51" s="32"/>
      <c r="H51" s="83"/>
    </row>
    <row r="52" spans="1:8" customFormat="1" ht="15">
      <c r="A52" s="145"/>
      <c r="B52" s="35" t="s">
        <v>72</v>
      </c>
      <c r="C52" s="93"/>
      <c r="D52" s="94"/>
      <c r="E52" s="50" t="s">
        <v>73</v>
      </c>
      <c r="F52" s="100"/>
      <c r="G52" s="101"/>
      <c r="H52" s="83"/>
    </row>
    <row r="53" spans="1:8" customFormat="1" ht="15">
      <c r="A53" s="145"/>
      <c r="B53" s="125"/>
      <c r="C53" s="125"/>
      <c r="D53" s="601"/>
      <c r="E53" s="168"/>
      <c r="F53" s="603"/>
      <c r="G53" s="32"/>
      <c r="H53" s="83"/>
    </row>
    <row r="54" spans="1:8" customFormat="1" ht="15">
      <c r="A54" s="34">
        <f>MAX(A$1:A53)+1</f>
        <v>8</v>
      </c>
      <c r="B54" s="125"/>
      <c r="C54" s="36" t="s">
        <v>74</v>
      </c>
      <c r="D54" s="37"/>
      <c r="E54" s="38" t="s">
        <v>75</v>
      </c>
      <c r="F54" s="39"/>
      <c r="G54" s="40" t="s">
        <v>18</v>
      </c>
      <c r="H54" s="64">
        <v>13.5</v>
      </c>
    </row>
    <row r="55" spans="1:8" customFormat="1" ht="15">
      <c r="A55" s="145"/>
      <c r="B55" s="125"/>
      <c r="C55" s="125"/>
      <c r="D55" s="67" t="s">
        <v>76</v>
      </c>
      <c r="E55" s="71" t="s">
        <v>77</v>
      </c>
      <c r="F55" s="61"/>
      <c r="G55" s="62" t="s">
        <v>18</v>
      </c>
      <c r="H55" s="83">
        <v>13.5</v>
      </c>
    </row>
    <row r="56" spans="1:8" customFormat="1" ht="15">
      <c r="A56" s="145"/>
      <c r="B56" s="125"/>
      <c r="C56" s="125"/>
      <c r="D56" s="601"/>
      <c r="E56" s="168" t="s">
        <v>3077</v>
      </c>
      <c r="F56" s="603">
        <f>(1.5*1.5*1.5)*4</f>
        <v>13.5</v>
      </c>
      <c r="G56" s="32"/>
      <c r="H56" s="83"/>
    </row>
    <row r="57" spans="1:8" customFormat="1" ht="15">
      <c r="A57" s="145"/>
      <c r="B57" s="125"/>
      <c r="C57" s="125"/>
      <c r="D57" s="601"/>
      <c r="E57" s="168"/>
      <c r="F57" s="603"/>
      <c r="G57" s="32"/>
      <c r="H57" s="83"/>
    </row>
    <row r="58" spans="1:8" customFormat="1" ht="15">
      <c r="A58" s="34">
        <f>MAX(A$1:A57)+1</f>
        <v>9</v>
      </c>
      <c r="B58" s="31"/>
      <c r="C58" s="36" t="s">
        <v>58</v>
      </c>
      <c r="D58" s="248"/>
      <c r="E58" s="38" t="s">
        <v>59</v>
      </c>
      <c r="F58" s="78"/>
      <c r="G58" s="40" t="s">
        <v>18</v>
      </c>
      <c r="H58" s="64">
        <v>13.5</v>
      </c>
    </row>
    <row r="59" spans="1:8" customFormat="1" ht="15">
      <c r="A59" s="145"/>
      <c r="B59" s="31"/>
      <c r="C59" s="66"/>
      <c r="D59" s="242" t="s">
        <v>60</v>
      </c>
      <c r="E59" s="71" t="s">
        <v>61</v>
      </c>
      <c r="F59" s="28"/>
      <c r="G59" s="62" t="s">
        <v>18</v>
      </c>
      <c r="H59" s="83">
        <v>13.5</v>
      </c>
    </row>
    <row r="60" spans="1:8" customFormat="1" ht="15">
      <c r="A60" s="145"/>
      <c r="B60" s="31"/>
      <c r="C60" s="66"/>
      <c r="D60" s="242"/>
      <c r="E60" s="157" t="s">
        <v>2741</v>
      </c>
      <c r="F60" s="144">
        <f>F64</f>
        <v>13.5</v>
      </c>
      <c r="G60" s="62"/>
      <c r="H60" s="83"/>
    </row>
    <row r="61" spans="1:8" customFormat="1" ht="15">
      <c r="A61" s="145"/>
      <c r="B61" s="31"/>
      <c r="C61" s="66"/>
      <c r="D61" s="242"/>
      <c r="E61" s="157"/>
      <c r="F61" s="144"/>
      <c r="G61" s="62"/>
      <c r="H61" s="83"/>
    </row>
    <row r="62" spans="1:8" customFormat="1" ht="15">
      <c r="A62" s="34">
        <f>MAX(A$1:A61)+1</f>
        <v>10</v>
      </c>
      <c r="B62" s="43"/>
      <c r="C62" s="36" t="s">
        <v>50</v>
      </c>
      <c r="D62" s="37"/>
      <c r="E62" s="38" t="s">
        <v>51</v>
      </c>
      <c r="F62" s="39"/>
      <c r="G62" s="40" t="s">
        <v>18</v>
      </c>
      <c r="H62" s="64">
        <v>13.5</v>
      </c>
    </row>
    <row r="63" spans="1:8" customFormat="1" ht="25.5">
      <c r="A63" s="145"/>
      <c r="B63" s="73"/>
      <c r="C63" s="66"/>
      <c r="D63" s="67" t="s">
        <v>138</v>
      </c>
      <c r="E63" s="71" t="s">
        <v>139</v>
      </c>
      <c r="F63" s="61"/>
      <c r="G63" s="62" t="s">
        <v>18</v>
      </c>
      <c r="H63" s="83">
        <v>13.5</v>
      </c>
    </row>
    <row r="64" spans="1:8" customFormat="1" ht="25.5">
      <c r="A64" s="145"/>
      <c r="B64" s="31"/>
      <c r="C64" s="31"/>
      <c r="D64" s="32"/>
      <c r="E64" s="168" t="s">
        <v>3078</v>
      </c>
      <c r="F64" s="170">
        <f>(1.5*1.5*1.5)*4</f>
        <v>13.5</v>
      </c>
      <c r="G64" s="29"/>
      <c r="H64" s="83"/>
    </row>
    <row r="65" spans="1:8" customFormat="1" ht="15">
      <c r="A65" s="145"/>
      <c r="B65" s="31"/>
      <c r="C65" s="31"/>
      <c r="D65" s="32"/>
      <c r="E65" s="168"/>
      <c r="F65" s="172"/>
      <c r="G65" s="29"/>
      <c r="H65" s="83"/>
    </row>
    <row r="66" spans="1:8" customFormat="1" ht="15">
      <c r="A66" s="145"/>
      <c r="B66" s="35" t="s">
        <v>2749</v>
      </c>
      <c r="C66" s="35"/>
      <c r="D66" s="94"/>
      <c r="E66" s="50" t="s">
        <v>2750</v>
      </c>
      <c r="F66" s="28"/>
      <c r="G66" s="29"/>
      <c r="H66" s="83"/>
    </row>
    <row r="67" spans="1:8" customFormat="1" ht="15">
      <c r="A67" s="145"/>
      <c r="B67" s="31"/>
      <c r="C67" s="31"/>
      <c r="D67" s="32"/>
      <c r="E67" s="33"/>
      <c r="F67" s="28"/>
      <c r="G67" s="29"/>
      <c r="H67" s="83"/>
    </row>
    <row r="68" spans="1:8" customFormat="1" ht="15">
      <c r="A68" s="34">
        <f>MAX(A$1:A67)+1</f>
        <v>11</v>
      </c>
      <c r="B68" s="31"/>
      <c r="C68" s="36" t="s">
        <v>418</v>
      </c>
      <c r="D68" s="37"/>
      <c r="E68" s="38" t="s">
        <v>419</v>
      </c>
      <c r="F68" s="39"/>
      <c r="G68" s="40" t="s">
        <v>18</v>
      </c>
      <c r="H68" s="64">
        <v>13.5</v>
      </c>
    </row>
    <row r="69" spans="1:8" customFormat="1" ht="15">
      <c r="A69" s="145"/>
      <c r="B69" s="31"/>
      <c r="C69" s="31"/>
      <c r="D69" s="191" t="s">
        <v>2751</v>
      </c>
      <c r="E69" s="193" t="s">
        <v>2752</v>
      </c>
      <c r="F69" s="192"/>
      <c r="G69" s="32" t="s">
        <v>18</v>
      </c>
      <c r="H69" s="83">
        <v>13.5</v>
      </c>
    </row>
    <row r="70" spans="1:8" customFormat="1" ht="15">
      <c r="A70" s="145"/>
      <c r="B70" s="31"/>
      <c r="C70" s="31"/>
      <c r="D70" s="191"/>
      <c r="E70" s="168" t="s">
        <v>3079</v>
      </c>
      <c r="F70" s="603">
        <f>(1.5*1.5*1.5)*4</f>
        <v>13.5</v>
      </c>
      <c r="G70" s="32"/>
      <c r="H70" s="83"/>
    </row>
    <row r="71" spans="1:8" customFormat="1" ht="15">
      <c r="A71" s="145"/>
      <c r="B71" s="31"/>
      <c r="C71" s="31"/>
      <c r="D71" s="32"/>
      <c r="E71" s="33"/>
      <c r="F71" s="28"/>
      <c r="G71" s="29"/>
      <c r="H71" s="83"/>
    </row>
    <row r="72" spans="1:8" customFormat="1" ht="15">
      <c r="A72" s="34">
        <f>MAX(A$1:A71)+1</f>
        <v>12</v>
      </c>
      <c r="B72" s="31"/>
      <c r="C72" s="36" t="s">
        <v>2754</v>
      </c>
      <c r="D72" s="37"/>
      <c r="E72" s="38" t="s">
        <v>2755</v>
      </c>
      <c r="F72" s="39"/>
      <c r="G72" s="40" t="s">
        <v>21</v>
      </c>
      <c r="H72" s="64">
        <v>9</v>
      </c>
    </row>
    <row r="73" spans="1:8" customFormat="1" ht="15">
      <c r="A73" s="145"/>
      <c r="B73" s="31"/>
      <c r="C73" s="31"/>
      <c r="D73" s="67" t="s">
        <v>2756</v>
      </c>
      <c r="E73" s="71" t="s">
        <v>2757</v>
      </c>
      <c r="F73" s="61"/>
      <c r="G73" s="62" t="s">
        <v>21</v>
      </c>
      <c r="H73" s="83">
        <v>9</v>
      </c>
    </row>
    <row r="74" spans="1:8" customFormat="1" ht="15">
      <c r="A74" s="145"/>
      <c r="B74" s="31"/>
      <c r="C74" s="31"/>
      <c r="D74" s="67"/>
      <c r="E74" s="168" t="s">
        <v>3080</v>
      </c>
      <c r="F74" s="603">
        <f>(1.5*1.5)*4</f>
        <v>9</v>
      </c>
      <c r="G74" s="62"/>
      <c r="H74" s="83"/>
    </row>
    <row r="75" spans="1:8" customFormat="1" ht="15">
      <c r="A75" s="145"/>
      <c r="B75" s="125"/>
      <c r="C75" s="125"/>
      <c r="D75" s="601"/>
      <c r="E75" s="193"/>
      <c r="F75" s="603"/>
      <c r="G75" s="32"/>
      <c r="H75" s="83"/>
    </row>
    <row r="76" spans="1:8" customFormat="1" ht="15">
      <c r="A76" s="95"/>
      <c r="B76" s="35" t="s">
        <v>621</v>
      </c>
      <c r="C76" s="35"/>
      <c r="D76" s="94"/>
      <c r="E76" s="50" t="s">
        <v>622</v>
      </c>
      <c r="F76" s="100"/>
      <c r="G76" s="97"/>
      <c r="H76" s="42"/>
    </row>
    <row r="77" spans="1:8" customFormat="1" ht="15">
      <c r="A77" s="95"/>
      <c r="B77" s="35"/>
      <c r="C77" s="35"/>
      <c r="D77" s="94"/>
      <c r="E77" s="50"/>
      <c r="F77" s="100"/>
      <c r="G77" s="97"/>
      <c r="H77" s="42"/>
    </row>
    <row r="78" spans="1:8" customFormat="1" ht="15">
      <c r="A78" s="34">
        <f>MAX(A$1:A77)+1</f>
        <v>13</v>
      </c>
      <c r="B78" s="35"/>
      <c r="C78" s="195">
        <v>92010101</v>
      </c>
      <c r="D78" s="196"/>
      <c r="E78" s="38" t="s">
        <v>2852</v>
      </c>
      <c r="F78" s="39"/>
      <c r="G78" s="40" t="s">
        <v>33</v>
      </c>
      <c r="H78" s="64">
        <v>8</v>
      </c>
    </row>
    <row r="79" spans="1:8" customFormat="1" ht="15">
      <c r="A79" s="34"/>
      <c r="B79" s="35"/>
      <c r="C79" s="35"/>
      <c r="D79" s="199">
        <v>9201010104</v>
      </c>
      <c r="E79" s="71" t="s">
        <v>2908</v>
      </c>
      <c r="F79" s="61"/>
      <c r="G79" s="62" t="s">
        <v>33</v>
      </c>
      <c r="H79" s="83">
        <v>8</v>
      </c>
    </row>
    <row r="80" spans="1:8" customFormat="1" ht="25.5">
      <c r="A80" s="34"/>
      <c r="B80" s="35"/>
      <c r="C80" s="35"/>
      <c r="D80" s="94"/>
      <c r="E80" s="168" t="s">
        <v>3067</v>
      </c>
      <c r="F80" s="603">
        <v>4</v>
      </c>
      <c r="G80" s="97"/>
      <c r="H80" s="42"/>
    </row>
    <row r="81" spans="1:8" customFormat="1" ht="15">
      <c r="A81" s="34"/>
      <c r="B81" s="35"/>
      <c r="C81" s="35"/>
      <c r="D81" s="94"/>
      <c r="E81" s="168" t="s">
        <v>2910</v>
      </c>
      <c r="F81" s="603">
        <v>2</v>
      </c>
      <c r="G81" s="97"/>
      <c r="H81" s="42"/>
    </row>
    <row r="82" spans="1:8" customFormat="1" ht="15">
      <c r="A82" s="34"/>
      <c r="B82" s="35"/>
      <c r="C82" s="35"/>
      <c r="D82" s="94"/>
      <c r="E82" s="168" t="s">
        <v>3081</v>
      </c>
      <c r="F82" s="705">
        <v>2</v>
      </c>
      <c r="G82" s="97"/>
      <c r="H82" s="42"/>
    </row>
    <row r="83" spans="1:8" customFormat="1" ht="15">
      <c r="A83" s="34"/>
      <c r="B83" s="35"/>
      <c r="C83" s="35"/>
      <c r="D83" s="94"/>
      <c r="E83" s="168" t="s">
        <v>1130</v>
      </c>
      <c r="F83" s="706">
        <f>SUM(F80:F82)</f>
        <v>8</v>
      </c>
      <c r="G83" s="97"/>
      <c r="H83" s="42"/>
    </row>
    <row r="84" spans="1:8" customFormat="1" ht="15">
      <c r="A84" s="34"/>
      <c r="B84" s="35"/>
      <c r="C84" s="35"/>
      <c r="D84" s="94"/>
      <c r="E84" s="50"/>
      <c r="F84" s="100"/>
      <c r="G84" s="97"/>
      <c r="H84" s="42"/>
    </row>
    <row r="85" spans="1:8" customFormat="1" ht="15">
      <c r="A85" s="34">
        <f>MAX(A$1:A84)+1</f>
        <v>14</v>
      </c>
      <c r="B85" s="35"/>
      <c r="C85" s="195">
        <v>92010109</v>
      </c>
      <c r="D85" s="196"/>
      <c r="E85" s="38" t="s">
        <v>2855</v>
      </c>
      <c r="F85" s="39"/>
      <c r="G85" s="40" t="s">
        <v>33</v>
      </c>
      <c r="H85" s="64">
        <v>4</v>
      </c>
    </row>
    <row r="86" spans="1:8" customFormat="1" ht="15">
      <c r="A86" s="95"/>
      <c r="B86" s="35"/>
      <c r="C86" s="198"/>
      <c r="D86" s="199">
        <v>9201010902</v>
      </c>
      <c r="E86" s="71" t="s">
        <v>2856</v>
      </c>
      <c r="F86" s="61"/>
      <c r="G86" s="62" t="s">
        <v>33</v>
      </c>
      <c r="H86" s="83">
        <v>4</v>
      </c>
    </row>
    <row r="87" spans="1:8" customFormat="1" ht="15">
      <c r="A87" s="95"/>
      <c r="B87" s="35"/>
      <c r="C87" s="125"/>
      <c r="D87" s="601"/>
      <c r="E87" s="168" t="s">
        <v>2986</v>
      </c>
      <c r="F87" s="603">
        <v>4</v>
      </c>
      <c r="G87" s="32"/>
      <c r="H87" s="83"/>
    </row>
    <row r="88" spans="1:8" customFormat="1" ht="15">
      <c r="A88" s="95"/>
      <c r="B88" s="3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15</v>
      </c>
      <c r="B89" s="125"/>
      <c r="C89" s="195">
        <v>92020105</v>
      </c>
      <c r="D89" s="196"/>
      <c r="E89" s="38" t="s">
        <v>2768</v>
      </c>
      <c r="F89" s="39"/>
      <c r="G89" s="40" t="s">
        <v>36</v>
      </c>
      <c r="H89" s="64">
        <v>39.5</v>
      </c>
    </row>
    <row r="90" spans="1:8" customFormat="1" ht="25.5">
      <c r="A90" s="34"/>
      <c r="B90" s="125"/>
      <c r="C90" s="125"/>
      <c r="D90" s="199">
        <v>9202010510</v>
      </c>
      <c r="E90" s="71" t="s">
        <v>2912</v>
      </c>
      <c r="F90" s="61"/>
      <c r="G90" s="62" t="s">
        <v>36</v>
      </c>
      <c r="H90" s="83">
        <v>39.5</v>
      </c>
    </row>
    <row r="91" spans="1:8" customFormat="1" ht="15">
      <c r="A91" s="34"/>
      <c r="B91" s="125"/>
      <c r="C91" s="125"/>
      <c r="D91" s="601"/>
      <c r="E91" s="168" t="s">
        <v>2913</v>
      </c>
      <c r="F91" s="603">
        <v>21.5</v>
      </c>
      <c r="G91" s="32"/>
      <c r="H91" s="83"/>
    </row>
    <row r="92" spans="1:8" customFormat="1" ht="15">
      <c r="A92" s="34"/>
      <c r="B92" s="125"/>
      <c r="C92" s="125"/>
      <c r="D92" s="601"/>
      <c r="E92" s="168" t="s">
        <v>3068</v>
      </c>
      <c r="F92" s="705">
        <v>18</v>
      </c>
      <c r="G92" s="32"/>
      <c r="H92" s="83"/>
    </row>
    <row r="93" spans="1:8" customFormat="1" ht="15">
      <c r="A93" s="34"/>
      <c r="B93" s="125"/>
      <c r="C93" s="125"/>
      <c r="D93" s="601"/>
      <c r="E93" s="168" t="s">
        <v>2766</v>
      </c>
      <c r="F93" s="170">
        <f>SUM(F91:F92)</f>
        <v>39.5</v>
      </c>
      <c r="G93" s="32"/>
      <c r="H93" s="83"/>
    </row>
    <row r="94" spans="1:8" customFormat="1" ht="15">
      <c r="A94" s="34"/>
      <c r="B94" s="125"/>
      <c r="C94" s="125"/>
      <c r="D94" s="601"/>
      <c r="E94" s="193"/>
      <c r="F94" s="603"/>
      <c r="G94" s="32"/>
      <c r="H94" s="83"/>
    </row>
    <row r="95" spans="1:8" customFormat="1" ht="25.5">
      <c r="A95" s="34">
        <f>MAX(A$1:A94)+1</f>
        <v>16</v>
      </c>
      <c r="B95" s="43"/>
      <c r="C95" s="195">
        <v>92020301</v>
      </c>
      <c r="D95" s="196"/>
      <c r="E95" s="38" t="s">
        <v>476</v>
      </c>
      <c r="F95" s="39"/>
      <c r="G95" s="40" t="s">
        <v>33</v>
      </c>
      <c r="H95" s="64">
        <v>15</v>
      </c>
    </row>
    <row r="96" spans="1:8" customFormat="1" ht="25.5">
      <c r="A96" s="72"/>
      <c r="B96" s="73"/>
      <c r="C96" s="198"/>
      <c r="D96" s="199">
        <v>9202030102</v>
      </c>
      <c r="E96" s="71" t="s">
        <v>490</v>
      </c>
      <c r="F96" s="61"/>
      <c r="G96" s="62" t="s">
        <v>33</v>
      </c>
      <c r="H96" s="83">
        <v>15</v>
      </c>
    </row>
    <row r="97" spans="1:10" customFormat="1" ht="15">
      <c r="A97" s="34"/>
      <c r="B97" s="125"/>
      <c r="C97" s="125"/>
      <c r="D97" s="601"/>
      <c r="E97" s="168" t="s">
        <v>2914</v>
      </c>
      <c r="F97" s="603">
        <v>8</v>
      </c>
      <c r="G97" s="32"/>
      <c r="H97" s="83"/>
    </row>
    <row r="98" spans="1:10" customFormat="1" ht="15">
      <c r="A98" s="34"/>
      <c r="B98" s="125"/>
      <c r="C98" s="125"/>
      <c r="D98" s="601"/>
      <c r="E98" s="168" t="s">
        <v>3056</v>
      </c>
      <c r="F98" s="603">
        <v>4</v>
      </c>
      <c r="G98" s="32"/>
      <c r="H98" s="83"/>
    </row>
    <row r="99" spans="1:10" customFormat="1" ht="15">
      <c r="A99" s="34"/>
      <c r="B99" s="125"/>
      <c r="C99" s="125"/>
      <c r="D99" s="601"/>
      <c r="E99" s="168" t="s">
        <v>2993</v>
      </c>
      <c r="F99" s="603">
        <v>1</v>
      </c>
      <c r="G99" s="32"/>
      <c r="H99" s="83"/>
    </row>
    <row r="100" spans="1:10" customFormat="1" ht="15">
      <c r="A100" s="34"/>
      <c r="B100" s="125"/>
      <c r="C100" s="125"/>
      <c r="D100" s="601"/>
      <c r="E100" s="168" t="s">
        <v>2994</v>
      </c>
      <c r="F100" s="705">
        <v>2</v>
      </c>
      <c r="G100" s="32"/>
      <c r="H100" s="83"/>
    </row>
    <row r="101" spans="1:10" customFormat="1" ht="15">
      <c r="A101" s="34"/>
      <c r="B101" s="125"/>
      <c r="C101" s="125"/>
      <c r="D101" s="601"/>
      <c r="E101" s="168" t="s">
        <v>1130</v>
      </c>
      <c r="F101" s="706">
        <f>SUM(F97:F100)</f>
        <v>15</v>
      </c>
      <c r="G101" s="32"/>
      <c r="H101" s="83"/>
    </row>
    <row r="102" spans="1:10" customFormat="1" ht="15">
      <c r="A102" s="34"/>
      <c r="B102" s="125"/>
      <c r="C102" s="125"/>
      <c r="D102" s="601"/>
      <c r="E102" s="168"/>
      <c r="F102" s="603"/>
      <c r="G102" s="32"/>
      <c r="H102" s="83"/>
    </row>
    <row r="103" spans="1:10" customFormat="1" ht="25.5">
      <c r="A103" s="34">
        <f>MAX(A$1:A102)+1</f>
        <v>17</v>
      </c>
      <c r="B103" s="43"/>
      <c r="C103" s="195">
        <v>92020702</v>
      </c>
      <c r="D103" s="196"/>
      <c r="E103" s="38" t="s">
        <v>718</v>
      </c>
      <c r="F103" s="39"/>
      <c r="G103" s="40" t="s">
        <v>33</v>
      </c>
      <c r="H103" s="64">
        <v>13</v>
      </c>
    </row>
    <row r="104" spans="1:10" customFormat="1" ht="25.5">
      <c r="A104" s="72"/>
      <c r="B104" s="73"/>
      <c r="C104" s="198"/>
      <c r="D104" s="199">
        <v>9202070202</v>
      </c>
      <c r="E104" s="71" t="s">
        <v>719</v>
      </c>
      <c r="F104" s="61"/>
      <c r="G104" s="62" t="s">
        <v>33</v>
      </c>
      <c r="H104" s="83">
        <v>13</v>
      </c>
    </row>
    <row r="105" spans="1:10" customFormat="1" ht="15">
      <c r="A105" s="34"/>
      <c r="B105" s="125"/>
      <c r="C105" s="125"/>
      <c r="D105" s="601"/>
      <c r="E105" s="168" t="s">
        <v>1386</v>
      </c>
      <c r="F105" s="603">
        <v>13</v>
      </c>
      <c r="G105" s="32"/>
      <c r="H105" s="83"/>
    </row>
    <row r="106" spans="1:10" customFormat="1" ht="15">
      <c r="A106" s="34"/>
      <c r="B106" s="125"/>
      <c r="C106" s="125"/>
      <c r="D106" s="601"/>
      <c r="E106" s="168"/>
      <c r="F106" s="603"/>
      <c r="G106" s="32"/>
      <c r="H106" s="83"/>
    </row>
    <row r="107" spans="1:10" customFormat="1" ht="25.5">
      <c r="A107" s="34">
        <f>MAX(A$1:A106)+1</f>
        <v>18</v>
      </c>
      <c r="B107" s="125"/>
      <c r="C107" s="195">
        <v>92022501</v>
      </c>
      <c r="D107" s="196"/>
      <c r="E107" s="38" t="s">
        <v>478</v>
      </c>
      <c r="F107" s="39"/>
      <c r="G107" s="40" t="s">
        <v>33</v>
      </c>
      <c r="H107" s="64">
        <v>35</v>
      </c>
    </row>
    <row r="108" spans="1:10" customFormat="1" ht="25.5">
      <c r="A108" s="34"/>
      <c r="B108" s="125"/>
      <c r="C108" s="195"/>
      <c r="D108" s="199">
        <v>9202250102</v>
      </c>
      <c r="E108" s="71" t="s">
        <v>479</v>
      </c>
      <c r="F108" s="61"/>
      <c r="G108" s="62" t="s">
        <v>33</v>
      </c>
      <c r="H108" s="83">
        <v>11</v>
      </c>
    </row>
    <row r="109" spans="1:10" customFormat="1" ht="15">
      <c r="A109" s="34"/>
      <c r="B109" s="125"/>
      <c r="C109" s="195"/>
      <c r="D109" s="199"/>
      <c r="E109" s="168" t="s">
        <v>1385</v>
      </c>
      <c r="F109" s="603">
        <v>2</v>
      </c>
      <c r="G109" s="62"/>
      <c r="H109" s="83"/>
      <c r="J109" s="208"/>
    </row>
    <row r="110" spans="1:10" customFormat="1" ht="15">
      <c r="A110" s="34"/>
      <c r="B110" s="125"/>
      <c r="C110" s="195"/>
      <c r="D110" s="199"/>
      <c r="E110" s="168" t="s">
        <v>3082</v>
      </c>
      <c r="F110" s="603">
        <v>2</v>
      </c>
      <c r="G110" s="62"/>
      <c r="H110" s="83"/>
    </row>
    <row r="111" spans="1:10" customFormat="1" ht="15">
      <c r="A111" s="34"/>
      <c r="B111" s="125"/>
      <c r="C111" s="195"/>
      <c r="D111" s="199"/>
      <c r="E111" s="168" t="s">
        <v>2767</v>
      </c>
      <c r="F111" s="603">
        <v>2</v>
      </c>
      <c r="G111" s="62"/>
      <c r="H111" s="83"/>
    </row>
    <row r="112" spans="1:10" customFormat="1" ht="15">
      <c r="A112" s="34"/>
      <c r="B112" s="125"/>
      <c r="C112" s="195"/>
      <c r="D112" s="199"/>
      <c r="E112" s="168" t="s">
        <v>3055</v>
      </c>
      <c r="F112" s="603">
        <v>2</v>
      </c>
      <c r="G112" s="62"/>
      <c r="H112" s="83"/>
    </row>
    <row r="113" spans="1:8" customFormat="1" ht="15">
      <c r="A113" s="34"/>
      <c r="B113" s="125"/>
      <c r="C113" s="195"/>
      <c r="D113" s="199"/>
      <c r="E113" s="168" t="s">
        <v>2987</v>
      </c>
      <c r="F113" s="603">
        <v>1</v>
      </c>
      <c r="G113" s="62"/>
      <c r="H113" s="83"/>
    </row>
    <row r="114" spans="1:8" customFormat="1" ht="15">
      <c r="A114" s="34"/>
      <c r="B114" s="125"/>
      <c r="C114" s="195"/>
      <c r="D114" s="199"/>
      <c r="E114" s="168" t="s">
        <v>2989</v>
      </c>
      <c r="F114" s="705">
        <v>2</v>
      </c>
      <c r="G114" s="62"/>
      <c r="H114" s="83"/>
    </row>
    <row r="115" spans="1:8" customFormat="1" ht="15">
      <c r="A115" s="34"/>
      <c r="B115" s="125"/>
      <c r="C115" s="195"/>
      <c r="D115" s="199"/>
      <c r="E115" s="168" t="s">
        <v>1130</v>
      </c>
      <c r="F115" s="706">
        <f>SUM(F109:F114)</f>
        <v>11</v>
      </c>
      <c r="G115" s="62"/>
      <c r="H115" s="83"/>
    </row>
    <row r="116" spans="1:8" customFormat="1" ht="25.5">
      <c r="A116" s="34"/>
      <c r="B116" s="125"/>
      <c r="C116" s="125"/>
      <c r="D116" s="199">
        <v>9202250104</v>
      </c>
      <c r="E116" s="71" t="s">
        <v>722</v>
      </c>
      <c r="F116" s="61"/>
      <c r="G116" s="62" t="s">
        <v>33</v>
      </c>
      <c r="H116" s="83">
        <v>11</v>
      </c>
    </row>
    <row r="117" spans="1:8" customFormat="1" ht="15">
      <c r="A117" s="34"/>
      <c r="B117" s="125"/>
      <c r="C117" s="125"/>
      <c r="D117" s="199"/>
      <c r="E117" s="168" t="s">
        <v>3000</v>
      </c>
      <c r="F117" s="603">
        <v>11</v>
      </c>
      <c r="G117" s="62"/>
      <c r="H117" s="83"/>
    </row>
    <row r="118" spans="1:8" customFormat="1" ht="25.5">
      <c r="A118" s="34"/>
      <c r="B118" s="125"/>
      <c r="C118" s="125"/>
      <c r="D118" s="199">
        <v>9202250111</v>
      </c>
      <c r="E118" s="71" t="s">
        <v>743</v>
      </c>
      <c r="F118" s="61"/>
      <c r="G118" s="62" t="s">
        <v>33</v>
      </c>
      <c r="H118" s="83">
        <v>13</v>
      </c>
    </row>
    <row r="119" spans="1:8" customFormat="1" ht="15">
      <c r="A119" s="34"/>
      <c r="B119" s="125"/>
      <c r="C119" s="125"/>
      <c r="D119" s="199"/>
      <c r="E119" s="168" t="s">
        <v>3083</v>
      </c>
      <c r="F119" s="603">
        <v>13</v>
      </c>
      <c r="G119" s="62"/>
      <c r="H119" s="83"/>
    </row>
    <row r="120" spans="1:8" customFormat="1" ht="15">
      <c r="A120" s="34"/>
      <c r="B120" s="125"/>
      <c r="C120" s="125"/>
      <c r="D120" s="199"/>
      <c r="E120" s="168"/>
      <c r="F120" s="603"/>
      <c r="G120" s="62"/>
      <c r="H120" s="83"/>
    </row>
    <row r="121" spans="1:8" customFormat="1" ht="25.5">
      <c r="A121" s="34">
        <f>MAX(A$1:A120)+1</f>
        <v>19</v>
      </c>
      <c r="B121" s="43"/>
      <c r="C121" s="195">
        <v>92022705</v>
      </c>
      <c r="D121" s="196"/>
      <c r="E121" s="38" t="s">
        <v>2784</v>
      </c>
      <c r="F121" s="39"/>
      <c r="G121" s="40" t="s">
        <v>33</v>
      </c>
      <c r="H121" s="64">
        <v>12</v>
      </c>
    </row>
    <row r="122" spans="1:8" customFormat="1" ht="25.5">
      <c r="A122" s="72"/>
      <c r="B122" s="73"/>
      <c r="C122" s="198"/>
      <c r="D122" s="198">
        <v>9202270506</v>
      </c>
      <c r="E122" s="71" t="s">
        <v>2785</v>
      </c>
      <c r="F122" s="61"/>
      <c r="G122" s="62" t="s">
        <v>33</v>
      </c>
      <c r="H122" s="83">
        <v>12</v>
      </c>
    </row>
    <row r="123" spans="1:8" customFormat="1" ht="15">
      <c r="A123" s="34"/>
      <c r="B123" s="125"/>
      <c r="C123" s="125"/>
      <c r="D123" s="601"/>
      <c r="E123" s="168" t="s">
        <v>3005</v>
      </c>
      <c r="F123" s="603">
        <v>4</v>
      </c>
      <c r="G123" s="32"/>
      <c r="H123" s="83"/>
    </row>
    <row r="124" spans="1:8" customFormat="1" ht="15">
      <c r="A124" s="34"/>
      <c r="B124" s="125"/>
      <c r="C124" s="125"/>
      <c r="D124" s="601"/>
      <c r="E124" s="168" t="s">
        <v>2866</v>
      </c>
      <c r="F124" s="603">
        <v>4</v>
      </c>
      <c r="G124" s="32"/>
      <c r="H124" s="83"/>
    </row>
    <row r="125" spans="1:8" customFormat="1" ht="15">
      <c r="A125" s="34"/>
      <c r="B125" s="125"/>
      <c r="C125" s="125"/>
      <c r="D125" s="601"/>
      <c r="E125" s="168" t="s">
        <v>2787</v>
      </c>
      <c r="F125" s="705">
        <v>4</v>
      </c>
      <c r="G125" s="32"/>
      <c r="H125" s="83"/>
    </row>
    <row r="126" spans="1:8" customFormat="1" ht="15">
      <c r="A126" s="34"/>
      <c r="B126" s="125"/>
      <c r="C126" s="125"/>
      <c r="D126" s="601"/>
      <c r="E126" s="168" t="s">
        <v>1130</v>
      </c>
      <c r="F126" s="706">
        <f>SUM(F123:F125)</f>
        <v>12</v>
      </c>
      <c r="G126" s="32"/>
      <c r="H126" s="83"/>
    </row>
    <row r="127" spans="1:8" customFormat="1" ht="15">
      <c r="A127" s="34"/>
      <c r="B127" s="125"/>
      <c r="C127" s="125"/>
      <c r="D127" s="601"/>
      <c r="E127" s="193"/>
      <c r="F127" s="603"/>
      <c r="G127" s="32"/>
      <c r="H127" s="83"/>
    </row>
    <row r="128" spans="1:8" customFormat="1" ht="25.5">
      <c r="A128" s="34">
        <f>MAX(A$1:A127)+1</f>
        <v>20</v>
      </c>
      <c r="B128" s="1259"/>
      <c r="C128" s="195">
        <v>92050305</v>
      </c>
      <c r="D128" s="196"/>
      <c r="E128" s="38" t="s">
        <v>3008</v>
      </c>
      <c r="F128" s="39"/>
      <c r="G128" s="40" t="s">
        <v>33</v>
      </c>
      <c r="H128" s="64">
        <v>3</v>
      </c>
    </row>
    <row r="129" spans="1:8" customFormat="1" ht="25.5">
      <c r="A129" s="34"/>
      <c r="B129" s="1259"/>
      <c r="C129" s="125"/>
      <c r="D129" s="198">
        <v>9205030508</v>
      </c>
      <c r="E129" s="71" t="s">
        <v>3011</v>
      </c>
      <c r="F129" s="61"/>
      <c r="G129" s="62" t="s">
        <v>33</v>
      </c>
      <c r="H129" s="83">
        <v>3</v>
      </c>
    </row>
    <row r="130" spans="1:8" customFormat="1" ht="15">
      <c r="A130" s="34"/>
      <c r="B130" s="1259"/>
      <c r="C130" s="125"/>
      <c r="D130" s="601"/>
      <c r="E130" s="168" t="s">
        <v>3070</v>
      </c>
      <c r="F130" s="603">
        <v>3</v>
      </c>
      <c r="G130" s="32"/>
      <c r="H130" s="83"/>
    </row>
    <row r="131" spans="1:8" customFormat="1" ht="15">
      <c r="A131" s="34"/>
      <c r="B131" s="1259"/>
      <c r="C131" s="125"/>
      <c r="D131" s="601"/>
      <c r="E131" s="193"/>
      <c r="F131" s="603"/>
      <c r="G131" s="32"/>
      <c r="H131" s="83"/>
    </row>
    <row r="132" spans="1:8" customFormat="1" ht="25.5">
      <c r="A132" s="34">
        <f>MAX(A$1:A131)+1</f>
        <v>21</v>
      </c>
      <c r="B132" s="1259"/>
      <c r="C132" s="36" t="s">
        <v>2920</v>
      </c>
      <c r="D132" s="37"/>
      <c r="E132" s="38" t="s">
        <v>2921</v>
      </c>
      <c r="F132" s="39"/>
      <c r="G132" s="40" t="s">
        <v>33</v>
      </c>
      <c r="H132" s="64">
        <v>3</v>
      </c>
    </row>
    <row r="133" spans="1:8" customFormat="1" ht="25.5">
      <c r="A133" s="34"/>
      <c r="B133" s="1259"/>
      <c r="C133" s="66"/>
      <c r="D133" s="67" t="s">
        <v>2922</v>
      </c>
      <c r="E133" s="71" t="s">
        <v>2923</v>
      </c>
      <c r="F133" s="61"/>
      <c r="G133" s="62" t="s">
        <v>33</v>
      </c>
      <c r="H133" s="1260">
        <v>3</v>
      </c>
    </row>
    <row r="134" spans="1:8" customFormat="1" ht="15">
      <c r="A134" s="34"/>
      <c r="B134" s="1259"/>
      <c r="C134" s="125"/>
      <c r="D134" s="1261"/>
      <c r="E134" s="168" t="s">
        <v>3072</v>
      </c>
      <c r="F134" s="603">
        <v>1</v>
      </c>
      <c r="G134" s="32"/>
      <c r="H134" s="1260"/>
    </row>
    <row r="135" spans="1:8" customFormat="1" ht="25.5">
      <c r="A135" s="34"/>
      <c r="B135" s="1259"/>
      <c r="C135" s="125"/>
      <c r="D135" s="1261"/>
      <c r="E135" s="168" t="s">
        <v>3073</v>
      </c>
      <c r="F135" s="603">
        <v>1</v>
      </c>
      <c r="G135" s="32"/>
      <c r="H135" s="1260"/>
    </row>
    <row r="136" spans="1:8" customFormat="1" ht="15">
      <c r="A136" s="34"/>
      <c r="B136" s="1259"/>
      <c r="C136" s="125"/>
      <c r="D136" s="1261"/>
      <c r="E136" s="168" t="s">
        <v>3074</v>
      </c>
      <c r="F136" s="705">
        <v>1</v>
      </c>
      <c r="G136" s="32"/>
      <c r="H136" s="1260"/>
    </row>
    <row r="137" spans="1:8" customFormat="1" ht="15">
      <c r="A137" s="34"/>
      <c r="B137" s="1259"/>
      <c r="C137" s="125"/>
      <c r="D137" s="1261"/>
      <c r="E137" s="168" t="s">
        <v>1130</v>
      </c>
      <c r="F137" s="706">
        <f>SUM(F134:F136)</f>
        <v>3</v>
      </c>
      <c r="G137" s="32"/>
      <c r="H137" s="1260"/>
    </row>
    <row r="138" spans="1:8" customFormat="1" ht="15">
      <c r="A138" s="34"/>
      <c r="B138" s="1259"/>
      <c r="C138" s="125"/>
      <c r="D138" s="1261"/>
      <c r="E138" s="168"/>
      <c r="F138" s="603"/>
      <c r="G138" s="32"/>
      <c r="H138" s="1260"/>
    </row>
    <row r="139" spans="1:8" customFormat="1" ht="25.5">
      <c r="A139" s="34">
        <f>MAX(A$1:A138)+1</f>
        <v>22</v>
      </c>
      <c r="B139" s="1259"/>
      <c r="C139" s="36" t="s">
        <v>2928</v>
      </c>
      <c r="D139" s="37"/>
      <c r="E139" s="38" t="s">
        <v>2929</v>
      </c>
      <c r="F139" s="39"/>
      <c r="G139" s="40" t="s">
        <v>33</v>
      </c>
      <c r="H139" s="64">
        <v>4</v>
      </c>
    </row>
    <row r="140" spans="1:8" customFormat="1" ht="38.25">
      <c r="A140" s="34"/>
      <c r="B140" s="1259"/>
      <c r="C140" s="125"/>
      <c r="D140" s="67" t="s">
        <v>2930</v>
      </c>
      <c r="E140" s="71" t="s">
        <v>2931</v>
      </c>
      <c r="F140" s="61"/>
      <c r="G140" s="62" t="s">
        <v>33</v>
      </c>
      <c r="H140" s="1260">
        <v>4</v>
      </c>
    </row>
    <row r="141" spans="1:8" customFormat="1" ht="15">
      <c r="A141" s="34"/>
      <c r="B141" s="1259"/>
      <c r="C141" s="125"/>
      <c r="D141" s="1261"/>
      <c r="E141" s="168" t="s">
        <v>2932</v>
      </c>
      <c r="F141" s="603">
        <v>3</v>
      </c>
      <c r="G141" s="32"/>
      <c r="H141" s="1260"/>
    </row>
    <row r="142" spans="1:8" customFormat="1" ht="15">
      <c r="A142" s="34"/>
      <c r="B142" s="1259"/>
      <c r="C142" s="125"/>
      <c r="D142" s="1261"/>
      <c r="E142" s="168" t="s">
        <v>2933</v>
      </c>
      <c r="F142" s="705">
        <v>1</v>
      </c>
      <c r="G142" s="32"/>
      <c r="H142" s="1260"/>
    </row>
    <row r="143" spans="1:8" customFormat="1" ht="15">
      <c r="A143" s="34"/>
      <c r="B143" s="1259"/>
      <c r="C143" s="125"/>
      <c r="D143" s="1261"/>
      <c r="E143" s="168" t="s">
        <v>1130</v>
      </c>
      <c r="F143" s="706">
        <f>SUM(F141:F142)</f>
        <v>4</v>
      </c>
      <c r="G143" s="32"/>
      <c r="H143" s="1260"/>
    </row>
    <row r="144" spans="1:8" customFormat="1" ht="15">
      <c r="A144" s="34"/>
      <c r="B144" s="1259"/>
      <c r="C144" s="125"/>
      <c r="D144" s="1261"/>
      <c r="E144" s="168"/>
      <c r="F144" s="705"/>
      <c r="G144" s="32"/>
      <c r="H144" s="1260"/>
    </row>
    <row r="145" spans="1:8" ht="15">
      <c r="A145" s="72"/>
      <c r="B145" s="73"/>
      <c r="C145" s="66"/>
      <c r="D145" s="67"/>
      <c r="E145" s="84"/>
      <c r="F145" s="90"/>
      <c r="G145" s="62"/>
      <c r="H145" s="99"/>
    </row>
    <row r="146" spans="1:8" ht="13.5" thickBot="1">
      <c r="A146" s="106"/>
      <c r="B146" s="107"/>
      <c r="C146" s="107"/>
      <c r="D146" s="107"/>
      <c r="E146" s="108"/>
      <c r="F146" s="109"/>
      <c r="G146" s="107"/>
      <c r="H146" s="110"/>
    </row>
  </sheetData>
  <sheetProtection algorithmName="SHA-512" hashValue="SptvffbN4NYYeOHoDn7D8p1hX8x51qEbkdUhtLo043620tNV7lHFlpVbURhVKscctib38zu++AEFA0zZp6usJw==" saltValue="rhKQUwTKTFP6YC852Scvi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2BF1-B808-42C9-8FFC-8DADBCCB1ACB}">
  <sheetPr codeName="Hárok50"/>
  <dimension ref="A1:H14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3085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6.75</v>
      </c>
    </row>
    <row r="9" spans="1:8">
      <c r="A9" s="47"/>
      <c r="B9" s="24"/>
      <c r="C9" s="25"/>
      <c r="D9" s="26"/>
      <c r="E9" s="27"/>
      <c r="F9" s="144">
        <f>F59</f>
        <v>6.75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91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54</v>
      </c>
    </row>
    <row r="25" spans="1:8">
      <c r="A25" s="145"/>
      <c r="B25" s="43"/>
      <c r="C25" s="36"/>
      <c r="D25" s="37"/>
      <c r="E25" s="168" t="s">
        <v>2895</v>
      </c>
      <c r="F25" s="603">
        <v>38</v>
      </c>
      <c r="G25" s="130"/>
      <c r="H25" s="64"/>
    </row>
    <row r="26" spans="1:8">
      <c r="A26" s="145"/>
      <c r="B26" s="43"/>
      <c r="C26" s="36"/>
      <c r="D26" s="37"/>
      <c r="E26" s="168" t="s">
        <v>3061</v>
      </c>
      <c r="F26" s="705">
        <v>16</v>
      </c>
      <c r="G26" s="130"/>
      <c r="H26" s="64"/>
    </row>
    <row r="27" spans="1:8">
      <c r="A27" s="145"/>
      <c r="B27" s="43"/>
      <c r="C27" s="36"/>
      <c r="D27" s="37"/>
      <c r="E27" s="168" t="s">
        <v>1130</v>
      </c>
      <c r="F27" s="706">
        <f>SUM(F25:F26)</f>
        <v>54</v>
      </c>
      <c r="G27" s="130"/>
      <c r="H27" s="64"/>
    </row>
    <row r="28" spans="1:8" ht="38.25">
      <c r="A28" s="145"/>
      <c r="B28" s="73"/>
      <c r="C28" s="66"/>
      <c r="D28" s="67" t="s">
        <v>491</v>
      </c>
      <c r="E28" s="71" t="s">
        <v>492</v>
      </c>
      <c r="F28" s="61"/>
      <c r="G28" s="62" t="s">
        <v>33</v>
      </c>
      <c r="H28" s="83">
        <v>37</v>
      </c>
    </row>
    <row r="29" spans="1:8">
      <c r="A29" s="145"/>
      <c r="B29" s="125"/>
      <c r="C29" s="125"/>
      <c r="D29" s="601"/>
      <c r="E29" s="168" t="s">
        <v>2896</v>
      </c>
      <c r="F29" s="603">
        <v>2</v>
      </c>
      <c r="G29" s="32"/>
      <c r="H29" s="83"/>
    </row>
    <row r="30" spans="1:8">
      <c r="A30" s="145"/>
      <c r="B30" s="125"/>
      <c r="C30" s="125"/>
      <c r="D30" s="601"/>
      <c r="E30" s="168" t="s">
        <v>1131</v>
      </c>
      <c r="F30" s="603">
        <v>7</v>
      </c>
      <c r="G30" s="32"/>
      <c r="H30" s="83"/>
    </row>
    <row r="31" spans="1:8">
      <c r="A31" s="145"/>
      <c r="B31" s="125"/>
      <c r="C31" s="125"/>
      <c r="D31" s="601"/>
      <c r="E31" s="168" t="s">
        <v>2897</v>
      </c>
      <c r="F31" s="603">
        <v>7</v>
      </c>
      <c r="G31" s="32"/>
      <c r="H31" s="83"/>
    </row>
    <row r="32" spans="1:8">
      <c r="A32" s="145"/>
      <c r="B32" s="125"/>
      <c r="C32" s="125"/>
      <c r="D32" s="601"/>
      <c r="E32" s="168" t="s">
        <v>2898</v>
      </c>
      <c r="F32" s="603">
        <v>7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2899</v>
      </c>
      <c r="F33" s="603">
        <v>8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2947</v>
      </c>
      <c r="F34" s="603">
        <v>2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2949</v>
      </c>
      <c r="F35" s="705">
        <v>4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1130</v>
      </c>
      <c r="F36" s="706">
        <f>SUM(F29:F35)</f>
        <v>37</v>
      </c>
      <c r="G36" s="32"/>
      <c r="H36" s="83"/>
    </row>
    <row r="37" spans="1:8" customFormat="1" ht="15">
      <c r="A37" s="145"/>
      <c r="B37" s="125"/>
      <c r="C37" s="125"/>
      <c r="D37" s="601"/>
      <c r="E37" s="168"/>
      <c r="F37" s="603"/>
      <c r="G37" s="32"/>
      <c r="H37" s="83"/>
    </row>
    <row r="38" spans="1:8" customFormat="1" ht="25.5">
      <c r="A38" s="34">
        <f>MAX(A$1:A37)+1</f>
        <v>6</v>
      </c>
      <c r="B38" s="125"/>
      <c r="C38" s="36" t="s">
        <v>115</v>
      </c>
      <c r="D38" s="37"/>
      <c r="E38" s="38" t="s">
        <v>116</v>
      </c>
      <c r="F38" s="39"/>
      <c r="G38" s="40" t="s">
        <v>33</v>
      </c>
      <c r="H38" s="64">
        <v>8</v>
      </c>
    </row>
    <row r="39" spans="1:8" customFormat="1" ht="25.5">
      <c r="A39" s="145"/>
      <c r="B39" s="125"/>
      <c r="C39" s="125"/>
      <c r="D39" s="67" t="s">
        <v>2901</v>
      </c>
      <c r="E39" s="71" t="s">
        <v>2902</v>
      </c>
      <c r="F39" s="61"/>
      <c r="G39" s="62" t="s">
        <v>33</v>
      </c>
      <c r="H39" s="83">
        <v>8</v>
      </c>
    </row>
    <row r="40" spans="1:8" customFormat="1" ht="15">
      <c r="A40" s="145"/>
      <c r="B40" s="125"/>
      <c r="C40" s="125"/>
      <c r="D40" s="601"/>
      <c r="E40" s="168" t="s">
        <v>2903</v>
      </c>
      <c r="F40" s="603">
        <v>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2906</v>
      </c>
      <c r="F41" s="603">
        <v>2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2907</v>
      </c>
      <c r="F42" s="603">
        <v>2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2955</v>
      </c>
      <c r="F43" s="603">
        <v>1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3062</v>
      </c>
      <c r="F44" s="705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1130</v>
      </c>
      <c r="F45" s="706">
        <f>SUM(F40:F44)</f>
        <v>8</v>
      </c>
      <c r="G45" s="32"/>
      <c r="H45" s="83"/>
    </row>
    <row r="46" spans="1:8" customFormat="1" ht="15">
      <c r="A46" s="145"/>
      <c r="B46" s="125"/>
      <c r="C46" s="125"/>
      <c r="D46" s="601"/>
      <c r="E46" s="168"/>
      <c r="F46" s="603"/>
      <c r="G46" s="32"/>
      <c r="H46" s="83"/>
    </row>
    <row r="47" spans="1:8" customFormat="1" ht="15">
      <c r="A47" s="34">
        <f>MAX(A$1:A46)+1</f>
        <v>7</v>
      </c>
      <c r="B47" s="125"/>
      <c r="C47" s="36" t="s">
        <v>37</v>
      </c>
      <c r="D47" s="37"/>
      <c r="E47" s="38" t="s">
        <v>38</v>
      </c>
      <c r="F47" s="39"/>
      <c r="G47" s="40" t="s">
        <v>15</v>
      </c>
      <c r="H47" s="64">
        <v>0.4</v>
      </c>
    </row>
    <row r="48" spans="1:8" customFormat="1" ht="15">
      <c r="A48" s="145"/>
      <c r="B48" s="125"/>
      <c r="C48" s="31"/>
      <c r="D48" s="67" t="s">
        <v>39</v>
      </c>
      <c r="E48" s="71" t="s">
        <v>40</v>
      </c>
      <c r="F48" s="61"/>
      <c r="G48" s="62" t="s">
        <v>15</v>
      </c>
      <c r="H48" s="83">
        <v>0.4</v>
      </c>
    </row>
    <row r="49" spans="1:8" customFormat="1" ht="15">
      <c r="A49" s="145"/>
      <c r="B49" s="125"/>
      <c r="C49" s="31"/>
      <c r="D49" s="32"/>
      <c r="E49" s="168" t="s">
        <v>2736</v>
      </c>
      <c r="F49" s="170">
        <v>0.4</v>
      </c>
      <c r="G49" s="29"/>
      <c r="H49" s="30"/>
    </row>
    <row r="50" spans="1:8" customFormat="1" ht="15">
      <c r="A50" s="145"/>
      <c r="B50" s="125"/>
      <c r="C50" s="125"/>
      <c r="D50" s="601"/>
      <c r="E50" s="193"/>
      <c r="F50" s="603"/>
      <c r="G50" s="32"/>
      <c r="H50" s="83"/>
    </row>
    <row r="51" spans="1:8" customFormat="1" ht="15">
      <c r="A51" s="145"/>
      <c r="B51" s="35" t="s">
        <v>72</v>
      </c>
      <c r="C51" s="93"/>
      <c r="D51" s="94"/>
      <c r="E51" s="50" t="s">
        <v>73</v>
      </c>
      <c r="F51" s="100"/>
      <c r="G51" s="101"/>
      <c r="H51" s="83"/>
    </row>
    <row r="52" spans="1:8" customFormat="1" ht="15">
      <c r="A52" s="145"/>
      <c r="B52" s="125"/>
      <c r="C52" s="125"/>
      <c r="D52" s="601"/>
      <c r="E52" s="168"/>
      <c r="F52" s="603"/>
      <c r="G52" s="32"/>
      <c r="H52" s="83"/>
    </row>
    <row r="53" spans="1:8" customFormat="1" ht="15">
      <c r="A53" s="34">
        <f>MAX(A$1:A52)+1</f>
        <v>8</v>
      </c>
      <c r="B53" s="125"/>
      <c r="C53" s="36" t="s">
        <v>74</v>
      </c>
      <c r="D53" s="37"/>
      <c r="E53" s="38" t="s">
        <v>75</v>
      </c>
      <c r="F53" s="39"/>
      <c r="G53" s="40" t="s">
        <v>18</v>
      </c>
      <c r="H53" s="64">
        <v>6.75</v>
      </c>
    </row>
    <row r="54" spans="1:8" customFormat="1" ht="15">
      <c r="A54" s="145"/>
      <c r="B54" s="125"/>
      <c r="C54" s="125"/>
      <c r="D54" s="67" t="s">
        <v>76</v>
      </c>
      <c r="E54" s="71" t="s">
        <v>77</v>
      </c>
      <c r="F54" s="61"/>
      <c r="G54" s="62" t="s">
        <v>18</v>
      </c>
      <c r="H54" s="83">
        <v>6.75</v>
      </c>
    </row>
    <row r="55" spans="1:8" customFormat="1" ht="15">
      <c r="A55" s="145"/>
      <c r="B55" s="125"/>
      <c r="C55" s="125"/>
      <c r="D55" s="601"/>
      <c r="E55" s="168" t="s">
        <v>3086</v>
      </c>
      <c r="F55" s="603">
        <f>(1.5*1.5*1.5)*2</f>
        <v>6.75</v>
      </c>
      <c r="G55" s="32"/>
      <c r="H55" s="83"/>
    </row>
    <row r="56" spans="1:8" customFormat="1" ht="15">
      <c r="A56" s="145"/>
      <c r="B56" s="125"/>
      <c r="C56" s="125"/>
      <c r="D56" s="601"/>
      <c r="E56" s="168"/>
      <c r="F56" s="603"/>
      <c r="G56" s="32"/>
      <c r="H56" s="83"/>
    </row>
    <row r="57" spans="1:8" customFormat="1" ht="15">
      <c r="A57" s="34">
        <f>MAX(A$1:A56)+1</f>
        <v>9</v>
      </c>
      <c r="B57" s="31"/>
      <c r="C57" s="36" t="s">
        <v>58</v>
      </c>
      <c r="D57" s="248"/>
      <c r="E57" s="38" t="s">
        <v>59</v>
      </c>
      <c r="F57" s="78"/>
      <c r="G57" s="40" t="s">
        <v>18</v>
      </c>
      <c r="H57" s="64">
        <v>6.75</v>
      </c>
    </row>
    <row r="58" spans="1:8" customFormat="1" ht="15">
      <c r="A58" s="145"/>
      <c r="B58" s="31"/>
      <c r="C58" s="66"/>
      <c r="D58" s="242" t="s">
        <v>60</v>
      </c>
      <c r="E58" s="71" t="s">
        <v>61</v>
      </c>
      <c r="F58" s="28"/>
      <c r="G58" s="62" t="s">
        <v>18</v>
      </c>
      <c r="H58" s="83">
        <v>6.75</v>
      </c>
    </row>
    <row r="59" spans="1:8" customFormat="1" ht="15">
      <c r="A59" s="145"/>
      <c r="B59" s="31"/>
      <c r="C59" s="66"/>
      <c r="D59" s="242"/>
      <c r="E59" s="157" t="s">
        <v>2741</v>
      </c>
      <c r="F59" s="144">
        <f>F63</f>
        <v>6.75</v>
      </c>
      <c r="G59" s="62"/>
      <c r="H59" s="83"/>
    </row>
    <row r="60" spans="1:8" customFormat="1" ht="15">
      <c r="A60" s="145"/>
      <c r="B60" s="31"/>
      <c r="C60" s="66"/>
      <c r="D60" s="242"/>
      <c r="E60" s="157"/>
      <c r="F60" s="144"/>
      <c r="G60" s="62"/>
      <c r="H60" s="83"/>
    </row>
    <row r="61" spans="1:8" customFormat="1" ht="15">
      <c r="A61" s="34">
        <f>MAX(A$1:A60)+1</f>
        <v>10</v>
      </c>
      <c r="B61" s="43"/>
      <c r="C61" s="36" t="s">
        <v>50</v>
      </c>
      <c r="D61" s="37"/>
      <c r="E61" s="38" t="s">
        <v>51</v>
      </c>
      <c r="F61" s="39"/>
      <c r="G61" s="40" t="s">
        <v>18</v>
      </c>
      <c r="H61" s="64">
        <v>6.75</v>
      </c>
    </row>
    <row r="62" spans="1:8" customFormat="1" ht="25.5">
      <c r="A62" s="145"/>
      <c r="B62" s="73"/>
      <c r="C62" s="66"/>
      <c r="D62" s="67" t="s">
        <v>138</v>
      </c>
      <c r="E62" s="71" t="s">
        <v>139</v>
      </c>
      <c r="F62" s="61"/>
      <c r="G62" s="62" t="s">
        <v>18</v>
      </c>
      <c r="H62" s="83">
        <v>6.75</v>
      </c>
    </row>
    <row r="63" spans="1:8" customFormat="1" ht="25.5">
      <c r="A63" s="145"/>
      <c r="B63" s="31"/>
      <c r="C63" s="31"/>
      <c r="D63" s="32"/>
      <c r="E63" s="168" t="s">
        <v>3087</v>
      </c>
      <c r="F63" s="170">
        <f>(1.5*1.5*1.5)*2</f>
        <v>6.75</v>
      </c>
      <c r="G63" s="29"/>
      <c r="H63" s="83"/>
    </row>
    <row r="64" spans="1:8" customFormat="1" ht="15">
      <c r="A64" s="145"/>
      <c r="B64" s="31"/>
      <c r="C64" s="31"/>
      <c r="D64" s="32"/>
      <c r="E64" s="168"/>
      <c r="F64" s="172"/>
      <c r="G64" s="29"/>
      <c r="H64" s="83"/>
    </row>
    <row r="65" spans="1:8" customFormat="1" ht="15">
      <c r="A65" s="145"/>
      <c r="B65" s="35" t="s">
        <v>2749</v>
      </c>
      <c r="C65" s="35"/>
      <c r="D65" s="94"/>
      <c r="E65" s="50" t="s">
        <v>2750</v>
      </c>
      <c r="F65" s="28"/>
      <c r="G65" s="29"/>
      <c r="H65" s="83"/>
    </row>
    <row r="66" spans="1:8" customFormat="1" ht="15">
      <c r="A66" s="145"/>
      <c r="B66" s="31"/>
      <c r="C66" s="31"/>
      <c r="D66" s="32"/>
      <c r="E66" s="33"/>
      <c r="F66" s="28"/>
      <c r="G66" s="29"/>
      <c r="H66" s="83"/>
    </row>
    <row r="67" spans="1:8" customFormat="1" ht="15">
      <c r="A67" s="34">
        <f>MAX(A$1:A66)+1</f>
        <v>11</v>
      </c>
      <c r="B67" s="31"/>
      <c r="C67" s="36" t="s">
        <v>418</v>
      </c>
      <c r="D67" s="37"/>
      <c r="E67" s="38" t="s">
        <v>419</v>
      </c>
      <c r="F67" s="39"/>
      <c r="G67" s="40" t="s">
        <v>18</v>
      </c>
      <c r="H67" s="64">
        <v>6.75</v>
      </c>
    </row>
    <row r="68" spans="1:8" customFormat="1" ht="15">
      <c r="A68" s="145"/>
      <c r="B68" s="31"/>
      <c r="C68" s="31"/>
      <c r="D68" s="191" t="s">
        <v>2751</v>
      </c>
      <c r="E68" s="193" t="s">
        <v>2752</v>
      </c>
      <c r="F68" s="192"/>
      <c r="G68" s="32" t="s">
        <v>18</v>
      </c>
      <c r="H68" s="83">
        <v>6.75</v>
      </c>
    </row>
    <row r="69" spans="1:8" customFormat="1" ht="15">
      <c r="A69" s="145"/>
      <c r="B69" s="31"/>
      <c r="C69" s="31"/>
      <c r="D69" s="191"/>
      <c r="E69" s="168" t="s">
        <v>3088</v>
      </c>
      <c r="F69" s="603">
        <f>(1.5*1.5*1.5)*2</f>
        <v>6.75</v>
      </c>
      <c r="G69" s="32"/>
      <c r="H69" s="83"/>
    </row>
    <row r="70" spans="1:8" customFormat="1" ht="15">
      <c r="A70" s="145"/>
      <c r="B70" s="31"/>
      <c r="C70" s="31"/>
      <c r="D70" s="32"/>
      <c r="E70" s="33"/>
      <c r="F70" s="28"/>
      <c r="G70" s="29"/>
      <c r="H70" s="83"/>
    </row>
    <row r="71" spans="1:8" customFormat="1" ht="15">
      <c r="A71" s="34">
        <f>MAX(A$1:A70)+1</f>
        <v>12</v>
      </c>
      <c r="B71" s="31"/>
      <c r="C71" s="36" t="s">
        <v>2754</v>
      </c>
      <c r="D71" s="37"/>
      <c r="E71" s="38" t="s">
        <v>2755</v>
      </c>
      <c r="F71" s="39"/>
      <c r="G71" s="40" t="s">
        <v>21</v>
      </c>
      <c r="H71" s="64">
        <v>4.5</v>
      </c>
    </row>
    <row r="72" spans="1:8" customFormat="1" ht="15">
      <c r="A72" s="145"/>
      <c r="B72" s="31"/>
      <c r="C72" s="31"/>
      <c r="D72" s="67" t="s">
        <v>2756</v>
      </c>
      <c r="E72" s="71" t="s">
        <v>2757</v>
      </c>
      <c r="F72" s="61"/>
      <c r="G72" s="62" t="s">
        <v>21</v>
      </c>
      <c r="H72" s="83">
        <v>4.5</v>
      </c>
    </row>
    <row r="73" spans="1:8" customFormat="1" ht="15">
      <c r="A73" s="145"/>
      <c r="B73" s="31"/>
      <c r="C73" s="31"/>
      <c r="D73" s="67"/>
      <c r="E73" s="168" t="s">
        <v>3089</v>
      </c>
      <c r="F73" s="603">
        <f>(1.5*1.5)*2</f>
        <v>4.5</v>
      </c>
      <c r="G73" s="62"/>
      <c r="H73" s="83"/>
    </row>
    <row r="74" spans="1:8" customFormat="1" ht="15">
      <c r="A74" s="145"/>
      <c r="B74" s="125"/>
      <c r="C74" s="125"/>
      <c r="D74" s="601"/>
      <c r="E74" s="193"/>
      <c r="F74" s="603"/>
      <c r="G74" s="32"/>
      <c r="H74" s="83"/>
    </row>
    <row r="75" spans="1:8" customFormat="1" ht="15">
      <c r="A75" s="95"/>
      <c r="B75" s="35" t="s">
        <v>621</v>
      </c>
      <c r="C75" s="35"/>
      <c r="D75" s="94"/>
      <c r="E75" s="50" t="s">
        <v>622</v>
      </c>
      <c r="F75" s="100"/>
      <c r="G75" s="97"/>
      <c r="H75" s="42"/>
    </row>
    <row r="76" spans="1:8" customFormat="1" ht="15">
      <c r="A76" s="95"/>
      <c r="B76" s="35"/>
      <c r="C76" s="35"/>
      <c r="D76" s="94"/>
      <c r="E76" s="50"/>
      <c r="F76" s="100"/>
      <c r="G76" s="97"/>
      <c r="H76" s="42"/>
    </row>
    <row r="77" spans="1:8" customFormat="1" ht="15">
      <c r="A77" s="34">
        <f>MAX(A$1:A76)+1</f>
        <v>13</v>
      </c>
      <c r="B77" s="35"/>
      <c r="C77" s="195">
        <v>92010101</v>
      </c>
      <c r="D77" s="196"/>
      <c r="E77" s="38" t="s">
        <v>2852</v>
      </c>
      <c r="F77" s="39"/>
      <c r="G77" s="40" t="s">
        <v>33</v>
      </c>
      <c r="H77" s="64">
        <v>4</v>
      </c>
    </row>
    <row r="78" spans="1:8" customFormat="1" ht="15">
      <c r="A78" s="34"/>
      <c r="B78" s="35"/>
      <c r="C78" s="35"/>
      <c r="D78" s="199">
        <v>9201010104</v>
      </c>
      <c r="E78" s="71" t="s">
        <v>2908</v>
      </c>
      <c r="F78" s="61"/>
      <c r="G78" s="62" t="s">
        <v>33</v>
      </c>
      <c r="H78" s="83">
        <v>4</v>
      </c>
    </row>
    <row r="79" spans="1:8" customFormat="1" ht="25.5">
      <c r="A79" s="34"/>
      <c r="B79" s="35"/>
      <c r="C79" s="35"/>
      <c r="D79" s="94"/>
      <c r="E79" s="168" t="s">
        <v>2982</v>
      </c>
      <c r="F79" s="603">
        <v>1</v>
      </c>
      <c r="G79" s="97"/>
      <c r="H79" s="42"/>
    </row>
    <row r="80" spans="1:8" customFormat="1" ht="25.5">
      <c r="A80" s="34"/>
      <c r="B80" s="35"/>
      <c r="C80" s="35"/>
      <c r="D80" s="94"/>
      <c r="E80" s="168" t="s">
        <v>3067</v>
      </c>
      <c r="F80" s="603">
        <v>1</v>
      </c>
      <c r="G80" s="97"/>
      <c r="H80" s="42"/>
    </row>
    <row r="81" spans="1:8" customFormat="1" ht="15">
      <c r="A81" s="34"/>
      <c r="B81" s="35"/>
      <c r="C81" s="35"/>
      <c r="D81" s="94"/>
      <c r="E81" s="168" t="s">
        <v>2910</v>
      </c>
      <c r="F81" s="603">
        <v>1</v>
      </c>
      <c r="G81" s="97"/>
      <c r="H81" s="42"/>
    </row>
    <row r="82" spans="1:8" customFormat="1" ht="15">
      <c r="A82" s="34"/>
      <c r="B82" s="35"/>
      <c r="C82" s="35"/>
      <c r="D82" s="94"/>
      <c r="E82" s="168" t="s">
        <v>3037</v>
      </c>
      <c r="F82" s="705">
        <v>1</v>
      </c>
      <c r="G82" s="97"/>
      <c r="H82" s="42"/>
    </row>
    <row r="83" spans="1:8" customFormat="1" ht="15">
      <c r="A83" s="34"/>
      <c r="B83" s="35"/>
      <c r="C83" s="35"/>
      <c r="D83" s="94"/>
      <c r="E83" s="168" t="s">
        <v>1130</v>
      </c>
      <c r="F83" s="706">
        <f>SUM(F79:F82)</f>
        <v>4</v>
      </c>
      <c r="G83" s="97"/>
      <c r="H83" s="42"/>
    </row>
    <row r="84" spans="1:8" customFormat="1" ht="15">
      <c r="A84" s="34"/>
      <c r="B84" s="35"/>
      <c r="C84" s="35"/>
      <c r="D84" s="94"/>
      <c r="E84" s="50"/>
      <c r="F84" s="100"/>
      <c r="G84" s="97"/>
      <c r="H84" s="42"/>
    </row>
    <row r="85" spans="1:8" customFormat="1" ht="15">
      <c r="A85" s="34">
        <f>MAX(A$1:A84)+1</f>
        <v>14</v>
      </c>
      <c r="B85" s="35"/>
      <c r="C85" s="195">
        <v>92010109</v>
      </c>
      <c r="D85" s="196"/>
      <c r="E85" s="38" t="s">
        <v>2855</v>
      </c>
      <c r="F85" s="39"/>
      <c r="G85" s="40" t="s">
        <v>33</v>
      </c>
      <c r="H85" s="64">
        <v>2</v>
      </c>
    </row>
    <row r="86" spans="1:8" customFormat="1" ht="15">
      <c r="A86" s="95"/>
      <c r="B86" s="35"/>
      <c r="C86" s="198"/>
      <c r="D86" s="199">
        <v>9201010902</v>
      </c>
      <c r="E86" s="71" t="s">
        <v>2856</v>
      </c>
      <c r="F86" s="61"/>
      <c r="G86" s="62" t="s">
        <v>33</v>
      </c>
      <c r="H86" s="83">
        <v>2</v>
      </c>
    </row>
    <row r="87" spans="1:8" customFormat="1" ht="15">
      <c r="A87" s="95"/>
      <c r="B87" s="35"/>
      <c r="C87" s="125"/>
      <c r="D87" s="601"/>
      <c r="E87" s="168" t="s">
        <v>2986</v>
      </c>
      <c r="F87" s="603">
        <v>2</v>
      </c>
      <c r="G87" s="32"/>
      <c r="H87" s="83"/>
    </row>
    <row r="88" spans="1:8" customFormat="1" ht="15">
      <c r="A88" s="95"/>
      <c r="B88" s="3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15</v>
      </c>
      <c r="B89" s="125"/>
      <c r="C89" s="195">
        <v>92020105</v>
      </c>
      <c r="D89" s="196"/>
      <c r="E89" s="38" t="s">
        <v>2768</v>
      </c>
      <c r="F89" s="39"/>
      <c r="G89" s="40" t="s">
        <v>36</v>
      </c>
      <c r="H89" s="64">
        <v>60</v>
      </c>
    </row>
    <row r="90" spans="1:8" customFormat="1" ht="25.5">
      <c r="A90" s="34"/>
      <c r="B90" s="125"/>
      <c r="C90" s="125"/>
      <c r="D90" s="199">
        <v>9202010510</v>
      </c>
      <c r="E90" s="71" t="s">
        <v>2912</v>
      </c>
      <c r="F90" s="61"/>
      <c r="G90" s="62" t="s">
        <v>36</v>
      </c>
      <c r="H90" s="83">
        <v>60</v>
      </c>
    </row>
    <row r="91" spans="1:8" customFormat="1" ht="15">
      <c r="A91" s="34"/>
      <c r="B91" s="125"/>
      <c r="C91" s="125"/>
      <c r="D91" s="601"/>
      <c r="E91" s="168" t="s">
        <v>2913</v>
      </c>
      <c r="F91" s="603">
        <v>42</v>
      </c>
      <c r="G91" s="32"/>
      <c r="H91" s="83"/>
    </row>
    <row r="92" spans="1:8" customFormat="1" ht="15">
      <c r="A92" s="34"/>
      <c r="B92" s="125"/>
      <c r="C92" s="125"/>
      <c r="D92" s="601"/>
      <c r="E92" s="168" t="s">
        <v>3068</v>
      </c>
      <c r="F92" s="705">
        <v>18</v>
      </c>
      <c r="G92" s="32"/>
      <c r="H92" s="83"/>
    </row>
    <row r="93" spans="1:8" customFormat="1" ht="15">
      <c r="A93" s="34"/>
      <c r="B93" s="125"/>
      <c r="C93" s="125"/>
      <c r="D93" s="601"/>
      <c r="E93" s="168" t="s">
        <v>2766</v>
      </c>
      <c r="F93" s="170">
        <f>SUM(F91:F92)</f>
        <v>60</v>
      </c>
      <c r="G93" s="32"/>
      <c r="H93" s="83"/>
    </row>
    <row r="94" spans="1:8" customFormat="1" ht="15">
      <c r="A94" s="34"/>
      <c r="B94" s="125"/>
      <c r="C94" s="125"/>
      <c r="D94" s="601"/>
      <c r="E94" s="193"/>
      <c r="F94" s="603"/>
      <c r="G94" s="32"/>
      <c r="H94" s="83"/>
    </row>
    <row r="95" spans="1:8" customFormat="1" ht="25.5">
      <c r="A95" s="34">
        <f>MAX(A$1:A94)+1</f>
        <v>16</v>
      </c>
      <c r="B95" s="43"/>
      <c r="C95" s="195">
        <v>92020301</v>
      </c>
      <c r="D95" s="196"/>
      <c r="E95" s="38" t="s">
        <v>476</v>
      </c>
      <c r="F95" s="39"/>
      <c r="G95" s="40" t="s">
        <v>33</v>
      </c>
      <c r="H95" s="64">
        <v>14</v>
      </c>
    </row>
    <row r="96" spans="1:8" customFormat="1" ht="25.5">
      <c r="A96" s="72"/>
      <c r="B96" s="73"/>
      <c r="C96" s="198"/>
      <c r="D96" s="199">
        <v>9202030102</v>
      </c>
      <c r="E96" s="71" t="s">
        <v>490</v>
      </c>
      <c r="F96" s="61"/>
      <c r="G96" s="62" t="s">
        <v>33</v>
      </c>
      <c r="H96" s="83">
        <v>14</v>
      </c>
    </row>
    <row r="97" spans="1:8" customFormat="1" ht="15">
      <c r="A97" s="34"/>
      <c r="B97" s="125"/>
      <c r="C97" s="125"/>
      <c r="D97" s="601"/>
      <c r="E97" s="168" t="s">
        <v>2914</v>
      </c>
      <c r="F97" s="603">
        <v>8</v>
      </c>
      <c r="G97" s="32"/>
      <c r="H97" s="83"/>
    </row>
    <row r="98" spans="1:8" customFormat="1" ht="15">
      <c r="A98" s="34"/>
      <c r="B98" s="125"/>
      <c r="C98" s="125"/>
      <c r="D98" s="601"/>
      <c r="E98" s="168" t="s">
        <v>3056</v>
      </c>
      <c r="F98" s="603">
        <v>2</v>
      </c>
      <c r="G98" s="32"/>
      <c r="H98" s="83"/>
    </row>
    <row r="99" spans="1:8" customFormat="1" ht="15">
      <c r="A99" s="34"/>
      <c r="B99" s="125"/>
      <c r="C99" s="125"/>
      <c r="D99" s="601"/>
      <c r="E99" s="168" t="s">
        <v>2994</v>
      </c>
      <c r="F99" s="705">
        <v>4</v>
      </c>
      <c r="G99" s="32"/>
      <c r="H99" s="83"/>
    </row>
    <row r="100" spans="1:8" customFormat="1" ht="15">
      <c r="A100" s="34"/>
      <c r="B100" s="125"/>
      <c r="C100" s="125"/>
      <c r="D100" s="601"/>
      <c r="E100" s="168" t="s">
        <v>1130</v>
      </c>
      <c r="F100" s="706">
        <f>SUM(F97:F99)</f>
        <v>14</v>
      </c>
      <c r="G100" s="32"/>
      <c r="H100" s="83"/>
    </row>
    <row r="101" spans="1:8" customFormat="1" ht="15">
      <c r="A101" s="34"/>
      <c r="B101" s="125"/>
      <c r="C101" s="125"/>
      <c r="D101" s="601"/>
      <c r="E101" s="168"/>
      <c r="F101" s="603"/>
      <c r="G101" s="32"/>
      <c r="H101" s="83"/>
    </row>
    <row r="102" spans="1:8" customFormat="1" ht="25.5">
      <c r="A102" s="34">
        <f>MAX(A$1:A101)+1</f>
        <v>17</v>
      </c>
      <c r="B102" s="43"/>
      <c r="C102" s="195">
        <v>92020702</v>
      </c>
      <c r="D102" s="196"/>
      <c r="E102" s="38" t="s">
        <v>718</v>
      </c>
      <c r="F102" s="39"/>
      <c r="G102" s="40" t="s">
        <v>33</v>
      </c>
      <c r="H102" s="64">
        <v>7</v>
      </c>
    </row>
    <row r="103" spans="1:8" customFormat="1" ht="25.5">
      <c r="A103" s="72"/>
      <c r="B103" s="73"/>
      <c r="C103" s="198"/>
      <c r="D103" s="199">
        <v>9202070202</v>
      </c>
      <c r="E103" s="71" t="s">
        <v>719</v>
      </c>
      <c r="F103" s="61"/>
      <c r="G103" s="62" t="s">
        <v>33</v>
      </c>
      <c r="H103" s="83">
        <v>7</v>
      </c>
    </row>
    <row r="104" spans="1:8" customFormat="1" ht="15">
      <c r="A104" s="34"/>
      <c r="B104" s="125"/>
      <c r="C104" s="125"/>
      <c r="D104" s="601"/>
      <c r="E104" s="168" t="s">
        <v>1386</v>
      </c>
      <c r="F104" s="603">
        <v>7</v>
      </c>
      <c r="G104" s="32"/>
      <c r="H104" s="83"/>
    </row>
    <row r="105" spans="1:8" customFormat="1" ht="15">
      <c r="A105" s="34"/>
      <c r="B105" s="125"/>
      <c r="C105" s="125"/>
      <c r="D105" s="601"/>
      <c r="E105" s="168"/>
      <c r="F105" s="603"/>
      <c r="G105" s="32"/>
      <c r="H105" s="83"/>
    </row>
    <row r="106" spans="1:8" customFormat="1" ht="25.5">
      <c r="A106" s="34">
        <f>MAX(A$1:A105)+1</f>
        <v>18</v>
      </c>
      <c r="B106" s="125"/>
      <c r="C106" s="195">
        <v>92022501</v>
      </c>
      <c r="D106" s="196"/>
      <c r="E106" s="38" t="s">
        <v>478</v>
      </c>
      <c r="F106" s="39"/>
      <c r="G106" s="40" t="s">
        <v>33</v>
      </c>
      <c r="H106" s="64">
        <v>21</v>
      </c>
    </row>
    <row r="107" spans="1:8" customFormat="1" ht="25.5">
      <c r="A107" s="34"/>
      <c r="B107" s="125"/>
      <c r="C107" s="195"/>
      <c r="D107" s="199">
        <v>9202250102</v>
      </c>
      <c r="E107" s="71" t="s">
        <v>479</v>
      </c>
      <c r="F107" s="61"/>
      <c r="G107" s="62" t="s">
        <v>33</v>
      </c>
      <c r="H107" s="83">
        <v>7</v>
      </c>
    </row>
    <row r="108" spans="1:8" customFormat="1" ht="15">
      <c r="A108" s="34"/>
      <c r="B108" s="125"/>
      <c r="C108" s="195"/>
      <c r="D108" s="199"/>
      <c r="E108" s="168" t="s">
        <v>1385</v>
      </c>
      <c r="F108" s="603">
        <v>3</v>
      </c>
      <c r="G108" s="62"/>
      <c r="H108" s="83"/>
    </row>
    <row r="109" spans="1:8" customFormat="1" ht="15">
      <c r="A109" s="34"/>
      <c r="B109" s="125"/>
      <c r="C109" s="195"/>
      <c r="D109" s="199"/>
      <c r="E109" s="168" t="s">
        <v>2989</v>
      </c>
      <c r="F109" s="705">
        <v>4</v>
      </c>
      <c r="G109" s="62"/>
      <c r="H109" s="83"/>
    </row>
    <row r="110" spans="1:8" customFormat="1" ht="15">
      <c r="A110" s="34"/>
      <c r="B110" s="125"/>
      <c r="C110" s="195"/>
      <c r="D110" s="199"/>
      <c r="E110" s="168" t="s">
        <v>1130</v>
      </c>
      <c r="F110" s="706">
        <f>SUM(F108:F109)</f>
        <v>7</v>
      </c>
      <c r="G110" s="62"/>
      <c r="H110" s="83"/>
    </row>
    <row r="111" spans="1:8" customFormat="1" ht="25.5">
      <c r="A111" s="34"/>
      <c r="B111" s="125"/>
      <c r="C111" s="125"/>
      <c r="D111" s="199">
        <v>9202250104</v>
      </c>
      <c r="E111" s="71" t="s">
        <v>722</v>
      </c>
      <c r="F111" s="61"/>
      <c r="G111" s="62" t="s">
        <v>33</v>
      </c>
      <c r="H111" s="83">
        <v>7</v>
      </c>
    </row>
    <row r="112" spans="1:8" customFormat="1" ht="15">
      <c r="A112" s="34"/>
      <c r="B112" s="125"/>
      <c r="C112" s="125"/>
      <c r="D112" s="199"/>
      <c r="E112" s="168" t="s">
        <v>3000</v>
      </c>
      <c r="F112" s="603">
        <v>7</v>
      </c>
      <c r="G112" s="62"/>
      <c r="H112" s="83"/>
    </row>
    <row r="113" spans="1:8" customFormat="1" ht="25.5">
      <c r="A113" s="34"/>
      <c r="B113" s="125"/>
      <c r="C113" s="125"/>
      <c r="D113" s="199">
        <v>9202250111</v>
      </c>
      <c r="E113" s="71" t="s">
        <v>743</v>
      </c>
      <c r="F113" s="61"/>
      <c r="G113" s="62" t="s">
        <v>33</v>
      </c>
      <c r="H113" s="83">
        <v>7</v>
      </c>
    </row>
    <row r="114" spans="1:8" customFormat="1" ht="15">
      <c r="A114" s="34"/>
      <c r="B114" s="125"/>
      <c r="C114" s="125"/>
      <c r="D114" s="199"/>
      <c r="E114" s="168" t="s">
        <v>3001</v>
      </c>
      <c r="F114" s="603">
        <v>3</v>
      </c>
      <c r="G114" s="62"/>
      <c r="H114" s="83"/>
    </row>
    <row r="115" spans="1:8" customFormat="1" ht="15">
      <c r="A115" s="34"/>
      <c r="B115" s="125"/>
      <c r="C115" s="125"/>
      <c r="D115" s="199"/>
      <c r="E115" s="168" t="s">
        <v>3004</v>
      </c>
      <c r="F115" s="705">
        <v>4</v>
      </c>
      <c r="G115" s="62"/>
      <c r="H115" s="83"/>
    </row>
    <row r="116" spans="1:8" customFormat="1" ht="15">
      <c r="A116" s="34"/>
      <c r="B116" s="125"/>
      <c r="C116" s="125"/>
      <c r="D116" s="199"/>
      <c r="E116" s="168" t="s">
        <v>1130</v>
      </c>
      <c r="F116" s="706">
        <f>SUM(F114:F115)</f>
        <v>7</v>
      </c>
      <c r="G116" s="62"/>
      <c r="H116" s="83"/>
    </row>
    <row r="117" spans="1:8" customFormat="1" ht="15">
      <c r="A117" s="34"/>
      <c r="B117" s="125"/>
      <c r="C117" s="125"/>
      <c r="D117" s="199"/>
      <c r="E117" s="168"/>
      <c r="F117" s="603"/>
      <c r="G117" s="62"/>
      <c r="H117" s="83"/>
    </row>
    <row r="118" spans="1:8" customFormat="1" ht="25.5">
      <c r="A118" s="34">
        <f>MAX(A$1:A117)+1</f>
        <v>19</v>
      </c>
      <c r="B118" s="43"/>
      <c r="C118" s="195">
        <v>92022705</v>
      </c>
      <c r="D118" s="196"/>
      <c r="E118" s="38" t="s">
        <v>2784</v>
      </c>
      <c r="F118" s="39"/>
      <c r="G118" s="40" t="s">
        <v>33</v>
      </c>
      <c r="H118" s="64">
        <v>6</v>
      </c>
    </row>
    <row r="119" spans="1:8" customFormat="1" ht="25.5">
      <c r="A119" s="72"/>
      <c r="B119" s="73"/>
      <c r="C119" s="198"/>
      <c r="D119" s="198">
        <v>9202270506</v>
      </c>
      <c r="E119" s="71" t="s">
        <v>2785</v>
      </c>
      <c r="F119" s="61"/>
      <c r="G119" s="62" t="s">
        <v>33</v>
      </c>
      <c r="H119" s="83">
        <v>6</v>
      </c>
    </row>
    <row r="120" spans="1:8" customFormat="1" ht="15">
      <c r="A120" s="34"/>
      <c r="B120" s="125"/>
      <c r="C120" s="125"/>
      <c r="D120" s="601"/>
      <c r="E120" s="168" t="s">
        <v>3005</v>
      </c>
      <c r="F120" s="603">
        <v>2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2866</v>
      </c>
      <c r="F121" s="603">
        <v>2</v>
      </c>
      <c r="G121" s="32"/>
      <c r="H121" s="83"/>
    </row>
    <row r="122" spans="1:8" customFormat="1" ht="15">
      <c r="A122" s="34"/>
      <c r="B122" s="125"/>
      <c r="C122" s="125"/>
      <c r="D122" s="601"/>
      <c r="E122" s="168" t="s">
        <v>2787</v>
      </c>
      <c r="F122" s="705">
        <v>2</v>
      </c>
      <c r="G122" s="32"/>
      <c r="H122" s="83"/>
    </row>
    <row r="123" spans="1:8" customFormat="1" ht="15">
      <c r="A123" s="34"/>
      <c r="B123" s="125"/>
      <c r="C123" s="125"/>
      <c r="D123" s="601"/>
      <c r="E123" s="168" t="s">
        <v>1130</v>
      </c>
      <c r="F123" s="706">
        <f>SUM(F120:F122)</f>
        <v>6</v>
      </c>
      <c r="G123" s="32"/>
      <c r="H123" s="83"/>
    </row>
    <row r="124" spans="1:8" customFormat="1" ht="15">
      <c r="A124" s="34"/>
      <c r="B124" s="125"/>
      <c r="C124" s="125"/>
      <c r="D124" s="601"/>
      <c r="E124" s="193"/>
      <c r="F124" s="603"/>
      <c r="G124" s="32"/>
      <c r="H124" s="83"/>
    </row>
    <row r="125" spans="1:8" customFormat="1" ht="25.5">
      <c r="A125" s="34">
        <f>MAX(A$1:A124)+1</f>
        <v>20</v>
      </c>
      <c r="B125" s="1259"/>
      <c r="C125" s="195">
        <v>92050305</v>
      </c>
      <c r="D125" s="196"/>
      <c r="E125" s="38" t="s">
        <v>3008</v>
      </c>
      <c r="F125" s="39"/>
      <c r="G125" s="40" t="s">
        <v>33</v>
      </c>
      <c r="H125" s="64">
        <v>1</v>
      </c>
    </row>
    <row r="126" spans="1:8" customFormat="1" ht="25.5">
      <c r="A126" s="34"/>
      <c r="B126" s="1259"/>
      <c r="C126" s="125"/>
      <c r="D126" s="198">
        <v>9205030508</v>
      </c>
      <c r="E126" s="71" t="s">
        <v>3011</v>
      </c>
      <c r="F126" s="61"/>
      <c r="G126" s="62" t="s">
        <v>33</v>
      </c>
      <c r="H126" s="83">
        <v>1</v>
      </c>
    </row>
    <row r="127" spans="1:8" customFormat="1" ht="15">
      <c r="A127" s="34"/>
      <c r="B127" s="1259"/>
      <c r="C127" s="125"/>
      <c r="D127" s="601"/>
      <c r="E127" s="168" t="s">
        <v>3070</v>
      </c>
      <c r="F127" s="603">
        <v>1</v>
      </c>
      <c r="G127" s="32"/>
      <c r="H127" s="83"/>
    </row>
    <row r="128" spans="1:8" customFormat="1" ht="15">
      <c r="A128" s="34"/>
      <c r="B128" s="1259"/>
      <c r="C128" s="125"/>
      <c r="D128" s="601"/>
      <c r="E128" s="193"/>
      <c r="F128" s="603"/>
      <c r="G128" s="32"/>
      <c r="H128" s="83"/>
    </row>
    <row r="129" spans="1:8" customFormat="1" ht="25.5">
      <c r="A129" s="34">
        <f>MAX(A$1:A128)+1</f>
        <v>21</v>
      </c>
      <c r="B129" s="1259"/>
      <c r="C129" s="36" t="s">
        <v>2920</v>
      </c>
      <c r="D129" s="37"/>
      <c r="E129" s="38" t="s">
        <v>2921</v>
      </c>
      <c r="F129" s="39"/>
      <c r="G129" s="40" t="s">
        <v>33</v>
      </c>
      <c r="H129" s="64">
        <v>5</v>
      </c>
    </row>
    <row r="130" spans="1:8" customFormat="1" ht="25.5">
      <c r="A130" s="34"/>
      <c r="B130" s="1259"/>
      <c r="C130" s="66"/>
      <c r="D130" s="67" t="s">
        <v>2922</v>
      </c>
      <c r="E130" s="71" t="s">
        <v>2923</v>
      </c>
      <c r="F130" s="61"/>
      <c r="G130" s="62" t="s">
        <v>33</v>
      </c>
      <c r="H130" s="1260">
        <v>5</v>
      </c>
    </row>
    <row r="131" spans="1:8" customFormat="1" ht="15">
      <c r="A131" s="34"/>
      <c r="B131" s="1259"/>
      <c r="C131" s="125"/>
      <c r="D131" s="1261"/>
      <c r="E131" s="168" t="s">
        <v>3072</v>
      </c>
      <c r="F131" s="603">
        <v>2</v>
      </c>
      <c r="G131" s="32"/>
      <c r="H131" s="1260"/>
    </row>
    <row r="132" spans="1:8" customFormat="1" ht="25.5">
      <c r="A132" s="34"/>
      <c r="B132" s="1259"/>
      <c r="C132" s="125"/>
      <c r="D132" s="1261"/>
      <c r="E132" s="168" t="s">
        <v>3073</v>
      </c>
      <c r="F132" s="603">
        <v>2</v>
      </c>
      <c r="G132" s="32"/>
      <c r="H132" s="1260"/>
    </row>
    <row r="133" spans="1:8" customFormat="1" ht="15">
      <c r="A133" s="34"/>
      <c r="B133" s="1259"/>
      <c r="C133" s="125"/>
      <c r="D133" s="1261"/>
      <c r="E133" s="168" t="s">
        <v>3074</v>
      </c>
      <c r="F133" s="705">
        <v>1</v>
      </c>
      <c r="G133" s="32"/>
      <c r="H133" s="1260"/>
    </row>
    <row r="134" spans="1:8" customFormat="1" ht="15">
      <c r="A134" s="34"/>
      <c r="B134" s="1259"/>
      <c r="C134" s="125"/>
      <c r="D134" s="1261"/>
      <c r="E134" s="168" t="s">
        <v>1130</v>
      </c>
      <c r="F134" s="706">
        <f>SUM(F131:F133)</f>
        <v>5</v>
      </c>
      <c r="G134" s="32"/>
      <c r="H134" s="1260"/>
    </row>
    <row r="135" spans="1:8" customFormat="1" ht="15">
      <c r="A135" s="34"/>
      <c r="B135" s="1259"/>
      <c r="C135" s="125"/>
      <c r="D135" s="1261"/>
      <c r="E135" s="168"/>
      <c r="F135" s="603"/>
      <c r="G135" s="32"/>
      <c r="H135" s="1260"/>
    </row>
    <row r="136" spans="1:8" customFormat="1" ht="25.5">
      <c r="A136" s="34">
        <f>MAX(A$1:A135)+1</f>
        <v>22</v>
      </c>
      <c r="B136" s="1259"/>
      <c r="C136" s="36" t="s">
        <v>2928</v>
      </c>
      <c r="D136" s="37"/>
      <c r="E136" s="38" t="s">
        <v>2929</v>
      </c>
      <c r="F136" s="39"/>
      <c r="G136" s="40" t="s">
        <v>33</v>
      </c>
      <c r="H136" s="64">
        <v>5</v>
      </c>
    </row>
    <row r="137" spans="1:8" customFormat="1" ht="38.25">
      <c r="A137" s="34"/>
      <c r="B137" s="1259"/>
      <c r="C137" s="125"/>
      <c r="D137" s="67" t="s">
        <v>2930</v>
      </c>
      <c r="E137" s="71" t="s">
        <v>2931</v>
      </c>
      <c r="F137" s="61"/>
      <c r="G137" s="62" t="s">
        <v>33</v>
      </c>
      <c r="H137" s="1260">
        <v>5</v>
      </c>
    </row>
    <row r="138" spans="1:8" customFormat="1" ht="15">
      <c r="A138" s="34"/>
      <c r="B138" s="1259"/>
      <c r="C138" s="125"/>
      <c r="D138" s="1261"/>
      <c r="E138" s="168" t="s">
        <v>2932</v>
      </c>
      <c r="F138" s="603">
        <v>4</v>
      </c>
      <c r="G138" s="32"/>
      <c r="H138" s="1260"/>
    </row>
    <row r="139" spans="1:8" customFormat="1" ht="15">
      <c r="A139" s="34"/>
      <c r="B139" s="1259"/>
      <c r="C139" s="125"/>
      <c r="D139" s="1261"/>
      <c r="E139" s="168" t="s">
        <v>2933</v>
      </c>
      <c r="F139" s="705">
        <v>1</v>
      </c>
      <c r="G139" s="32"/>
      <c r="H139" s="1260"/>
    </row>
    <row r="140" spans="1:8" customFormat="1" ht="15">
      <c r="A140" s="34"/>
      <c r="B140" s="1259"/>
      <c r="C140" s="125"/>
      <c r="D140" s="1261"/>
      <c r="E140" s="168" t="s">
        <v>1130</v>
      </c>
      <c r="F140" s="706">
        <f>SUM(F138:F139)</f>
        <v>5</v>
      </c>
      <c r="G140" s="32"/>
      <c r="H140" s="1260"/>
    </row>
    <row r="141" spans="1:8" customFormat="1" ht="15">
      <c r="A141" s="34"/>
      <c r="B141" s="1259"/>
      <c r="C141" s="125"/>
      <c r="D141" s="1261"/>
      <c r="E141" s="168"/>
      <c r="F141" s="603"/>
      <c r="G141" s="32"/>
      <c r="H141" s="1260"/>
    </row>
    <row r="142" spans="1:8" ht="15">
      <c r="A142" s="72"/>
      <c r="B142" s="73"/>
      <c r="C142" s="66"/>
      <c r="D142" s="67"/>
      <c r="E142" s="84"/>
      <c r="F142" s="90"/>
      <c r="G142" s="62"/>
      <c r="H142" s="99"/>
    </row>
    <row r="143" spans="1:8" ht="13.5" thickBot="1">
      <c r="A143" s="106"/>
      <c r="B143" s="107"/>
      <c r="C143" s="107"/>
      <c r="D143" s="107"/>
      <c r="E143" s="108"/>
      <c r="F143" s="109"/>
      <c r="G143" s="107"/>
      <c r="H143" s="110"/>
    </row>
  </sheetData>
  <sheetProtection algorithmName="SHA-512" hashValue="T5mGf9uVzwHkJOlUrSt9tEqhxSMymgLGvuWmR1Czd7JN33zP1EfUDtCR9junDY17E5MKuVzHREtFc6DEkrIxeA==" saltValue="1tYFxYc1ZekE55u+dyPVz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18DA1-ECD7-455E-B0DF-322F36E9B5B9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3168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cQvd8uMbMZTGI7ShTUqNyK6yyIiH4Pn5VE1gWZtPD6QaakgEZ/CU1qzAcpC7m0UAX6bfQfuoPn/xtD7sIkuxfw==" saltValue="irWGhCaOtIaAYZON9oXVn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8A0E-C538-4528-BECB-9524827EF22F}">
  <sheetPr codeName="Hárok51"/>
  <dimension ref="A1:H53"/>
  <sheetViews>
    <sheetView showGridLines="0" workbookViewId="0">
      <selection activeCell="I28" sqref="I28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3091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621</v>
      </c>
      <c r="C18" s="35"/>
      <c r="D18" s="94"/>
      <c r="E18" s="50" t="s">
        <v>622</v>
      </c>
      <c r="F18" s="100"/>
      <c r="G18" s="97"/>
      <c r="H18" s="42"/>
    </row>
    <row r="19" spans="1:8">
      <c r="A19" s="34"/>
      <c r="B19" s="125"/>
      <c r="C19" s="125"/>
      <c r="D19" s="601"/>
      <c r="E19" s="193"/>
      <c r="F19" s="603"/>
      <c r="G19" s="32"/>
      <c r="H19" s="83"/>
    </row>
    <row r="20" spans="1:8" ht="25.5">
      <c r="A20" s="34">
        <f>MAX(A$1:A19)+1</f>
        <v>4</v>
      </c>
      <c r="B20" s="43"/>
      <c r="C20" s="195">
        <v>92010207</v>
      </c>
      <c r="D20" s="196"/>
      <c r="E20" s="38" t="s">
        <v>2862</v>
      </c>
      <c r="F20" s="39"/>
      <c r="G20" s="40" t="s">
        <v>33</v>
      </c>
      <c r="H20" s="64">
        <v>4</v>
      </c>
    </row>
    <row r="21" spans="1:8" ht="25.5">
      <c r="A21" s="105"/>
      <c r="B21" s="73"/>
      <c r="C21" s="198"/>
      <c r="D21" s="199">
        <v>9201020702</v>
      </c>
      <c r="E21" s="71" t="s">
        <v>2863</v>
      </c>
      <c r="F21" s="61"/>
      <c r="G21" s="62" t="s">
        <v>33</v>
      </c>
      <c r="H21" s="83">
        <v>4</v>
      </c>
    </row>
    <row r="22" spans="1:8">
      <c r="A22" s="34"/>
      <c r="B22" s="125"/>
      <c r="C22" s="125"/>
      <c r="D22" s="601"/>
      <c r="E22" s="168" t="s">
        <v>3092</v>
      </c>
      <c r="F22" s="603">
        <v>2</v>
      </c>
      <c r="G22" s="32"/>
      <c r="H22" s="83"/>
    </row>
    <row r="23" spans="1:8">
      <c r="A23" s="34"/>
      <c r="B23" s="125"/>
      <c r="C23" s="125"/>
      <c r="D23" s="601"/>
      <c r="E23" s="168" t="s">
        <v>3093</v>
      </c>
      <c r="F23" s="705">
        <v>2</v>
      </c>
      <c r="G23" s="32"/>
      <c r="H23" s="83"/>
    </row>
    <row r="24" spans="1:8">
      <c r="A24" s="34"/>
      <c r="B24" s="125"/>
      <c r="C24" s="125"/>
      <c r="D24" s="601"/>
      <c r="E24" s="168" t="s">
        <v>1130</v>
      </c>
      <c r="F24" s="706">
        <f>SUM(F21:F23)</f>
        <v>4</v>
      </c>
      <c r="G24" s="32"/>
      <c r="H24" s="83"/>
    </row>
    <row r="25" spans="1:8">
      <c r="A25" s="34"/>
      <c r="B25" s="125"/>
      <c r="C25" s="125"/>
      <c r="D25" s="601"/>
      <c r="E25" s="193"/>
      <c r="F25" s="603"/>
      <c r="G25" s="32"/>
      <c r="H25" s="83"/>
    </row>
    <row r="26" spans="1:8" ht="25.5">
      <c r="A26" s="34">
        <f>MAX(A$1:A25)+1</f>
        <v>5</v>
      </c>
      <c r="B26" s="43"/>
      <c r="C26" s="195">
        <v>92020301</v>
      </c>
      <c r="D26" s="196"/>
      <c r="E26" s="38" t="s">
        <v>476</v>
      </c>
      <c r="F26" s="39"/>
      <c r="G26" s="40" t="s">
        <v>33</v>
      </c>
      <c r="H26" s="64">
        <v>4</v>
      </c>
    </row>
    <row r="27" spans="1:8" ht="25.5">
      <c r="A27" s="72"/>
      <c r="B27" s="73"/>
      <c r="C27" s="198"/>
      <c r="D27" s="199">
        <v>9202030102</v>
      </c>
      <c r="E27" s="71" t="s">
        <v>490</v>
      </c>
      <c r="F27" s="61"/>
      <c r="G27" s="62" t="s">
        <v>33</v>
      </c>
      <c r="H27" s="83">
        <v>4</v>
      </c>
    </row>
    <row r="28" spans="1:8">
      <c r="A28" s="34"/>
      <c r="B28" s="125"/>
      <c r="C28" s="125"/>
      <c r="D28" s="601"/>
      <c r="E28" s="168" t="s">
        <v>3094</v>
      </c>
      <c r="F28" s="603">
        <v>4</v>
      </c>
      <c r="G28" s="32"/>
      <c r="H28" s="83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92020702</v>
      </c>
      <c r="D30" s="196"/>
      <c r="E30" s="38" t="s">
        <v>718</v>
      </c>
      <c r="F30" s="39"/>
      <c r="G30" s="40" t="s">
        <v>33</v>
      </c>
      <c r="H30" s="64">
        <v>4</v>
      </c>
    </row>
    <row r="31" spans="1:8" ht="25.5">
      <c r="A31" s="72"/>
      <c r="B31" s="73"/>
      <c r="C31" s="198"/>
      <c r="D31" s="199">
        <v>9202070202</v>
      </c>
      <c r="E31" s="71" t="s">
        <v>719</v>
      </c>
      <c r="F31" s="61"/>
      <c r="G31" s="62" t="s">
        <v>33</v>
      </c>
      <c r="H31" s="83">
        <v>4</v>
      </c>
    </row>
    <row r="32" spans="1:8">
      <c r="A32" s="34"/>
      <c r="B32" s="125"/>
      <c r="C32" s="125"/>
      <c r="D32" s="601"/>
      <c r="E32" s="168" t="s">
        <v>1386</v>
      </c>
      <c r="F32" s="603">
        <v>4</v>
      </c>
      <c r="G32" s="32"/>
      <c r="H32" s="83"/>
    </row>
    <row r="33" spans="1:8" customFormat="1" ht="15">
      <c r="A33" s="34"/>
      <c r="B33" s="125"/>
      <c r="C33" s="125"/>
      <c r="D33" s="601"/>
      <c r="E33" s="193"/>
      <c r="F33" s="603"/>
      <c r="G33" s="32"/>
      <c r="H33" s="83"/>
    </row>
    <row r="34" spans="1:8" customFormat="1" ht="25.5">
      <c r="A34" s="34">
        <f>MAX(A$1:A33)+1</f>
        <v>7</v>
      </c>
      <c r="B34" s="43"/>
      <c r="C34" s="195">
        <v>92022705</v>
      </c>
      <c r="D34" s="196"/>
      <c r="E34" s="38" t="s">
        <v>2784</v>
      </c>
      <c r="F34" s="39"/>
      <c r="G34" s="40" t="s">
        <v>33</v>
      </c>
      <c r="H34" s="64">
        <v>6</v>
      </c>
    </row>
    <row r="35" spans="1:8" customFormat="1" ht="25.5">
      <c r="A35" s="72"/>
      <c r="B35" s="73"/>
      <c r="C35" s="198"/>
      <c r="D35" s="198">
        <v>9202270506</v>
      </c>
      <c r="E35" s="71" t="s">
        <v>2785</v>
      </c>
      <c r="F35" s="61"/>
      <c r="G35" s="62" t="s">
        <v>33</v>
      </c>
      <c r="H35" s="83">
        <v>6</v>
      </c>
    </row>
    <row r="36" spans="1:8" customFormat="1" ht="15">
      <c r="A36" s="34"/>
      <c r="B36" s="125"/>
      <c r="C36" s="125"/>
      <c r="D36" s="601"/>
      <c r="E36" s="168" t="s">
        <v>2919</v>
      </c>
      <c r="F36" s="603">
        <v>2</v>
      </c>
      <c r="G36" s="32"/>
      <c r="H36" s="83"/>
    </row>
    <row r="37" spans="1:8" customFormat="1" ht="15">
      <c r="A37" s="34"/>
      <c r="B37" s="125"/>
      <c r="C37" s="125"/>
      <c r="D37" s="601"/>
      <c r="E37" s="168" t="s">
        <v>2866</v>
      </c>
      <c r="F37" s="603">
        <v>2</v>
      </c>
      <c r="G37" s="32"/>
      <c r="H37" s="83"/>
    </row>
    <row r="38" spans="1:8" customFormat="1" ht="15">
      <c r="A38" s="34"/>
      <c r="B38" s="125"/>
      <c r="C38" s="125"/>
      <c r="D38" s="601"/>
      <c r="E38" s="168" t="s">
        <v>2787</v>
      </c>
      <c r="F38" s="705">
        <v>2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1130</v>
      </c>
      <c r="F39" s="706">
        <f>SUM(F36:F38)</f>
        <v>6</v>
      </c>
      <c r="G39" s="32"/>
      <c r="H39" s="83"/>
    </row>
    <row r="40" spans="1:8" customFormat="1" ht="15">
      <c r="A40" s="34"/>
      <c r="B40" s="125"/>
      <c r="C40" s="125"/>
      <c r="D40" s="601"/>
      <c r="E40" s="193"/>
      <c r="F40" s="603"/>
      <c r="G40" s="32"/>
      <c r="H40" s="83"/>
    </row>
    <row r="41" spans="1:8" customFormat="1" ht="25.5">
      <c r="A41" s="34">
        <f>MAX(A$1:A40)+1</f>
        <v>8</v>
      </c>
      <c r="B41" s="43"/>
      <c r="C41" s="195">
        <v>92022801</v>
      </c>
      <c r="D41" s="196"/>
      <c r="E41" s="38" t="s">
        <v>2867</v>
      </c>
      <c r="F41" s="39"/>
      <c r="G41" s="40" t="s">
        <v>36</v>
      </c>
      <c r="H41" s="64">
        <v>29</v>
      </c>
    </row>
    <row r="42" spans="1:8" customFormat="1" ht="25.5">
      <c r="A42" s="72"/>
      <c r="B42" s="73"/>
      <c r="C42" s="198"/>
      <c r="D42" s="199">
        <v>9202280102</v>
      </c>
      <c r="E42" s="71" t="s">
        <v>3095</v>
      </c>
      <c r="F42" s="61"/>
      <c r="G42" s="62" t="s">
        <v>36</v>
      </c>
      <c r="H42" s="83">
        <v>25</v>
      </c>
    </row>
    <row r="43" spans="1:8" customFormat="1" ht="15">
      <c r="A43" s="34"/>
      <c r="B43" s="125"/>
      <c r="C43" s="125"/>
      <c r="D43" s="601"/>
      <c r="E43" s="168" t="s">
        <v>3096</v>
      </c>
      <c r="F43" s="603">
        <v>25</v>
      </c>
      <c r="G43" s="32"/>
      <c r="H43" s="83"/>
    </row>
    <row r="44" spans="1:8" customFormat="1" ht="15">
      <c r="A44" s="34"/>
      <c r="B44" s="125"/>
      <c r="C44" s="125"/>
      <c r="D44" s="601"/>
      <c r="E44" s="168"/>
      <c r="F44" s="603"/>
      <c r="G44" s="32"/>
      <c r="H44" s="83"/>
    </row>
    <row r="45" spans="1:8" customFormat="1" ht="25.5">
      <c r="A45" s="72"/>
      <c r="B45" s="73"/>
      <c r="C45" s="198"/>
      <c r="D45" s="199">
        <v>9202280104</v>
      </c>
      <c r="E45" s="71" t="s">
        <v>2868</v>
      </c>
      <c r="F45" s="61"/>
      <c r="G45" s="62" t="s">
        <v>33</v>
      </c>
      <c r="H45" s="83">
        <v>4</v>
      </c>
    </row>
    <row r="46" spans="1:8" customFormat="1" ht="15">
      <c r="A46" s="34"/>
      <c r="B46" s="125"/>
      <c r="C46" s="125"/>
      <c r="D46" s="601"/>
      <c r="E46" s="168" t="s">
        <v>3097</v>
      </c>
      <c r="F46" s="603">
        <v>4</v>
      </c>
      <c r="G46" s="32"/>
      <c r="H46" s="83"/>
    </row>
    <row r="47" spans="1:8" customFormat="1" ht="15">
      <c r="A47" s="34"/>
      <c r="B47" s="125"/>
      <c r="C47" s="125"/>
      <c r="D47" s="601"/>
      <c r="E47" s="168"/>
      <c r="F47" s="603"/>
      <c r="G47" s="32"/>
      <c r="H47" s="83"/>
    </row>
    <row r="48" spans="1:8" customFormat="1" ht="25.5">
      <c r="A48" s="34">
        <f>MAX(A$1:A47)+1</f>
        <v>9</v>
      </c>
      <c r="B48" s="43"/>
      <c r="C48" s="195">
        <v>92022902</v>
      </c>
      <c r="D48" s="196"/>
      <c r="E48" s="38" t="s">
        <v>3098</v>
      </c>
      <c r="F48" s="39"/>
      <c r="G48" s="40" t="s">
        <v>36</v>
      </c>
      <c r="H48" s="64">
        <v>32</v>
      </c>
    </row>
    <row r="49" spans="1:8" customFormat="1" ht="25.5">
      <c r="A49" s="72"/>
      <c r="B49" s="73"/>
      <c r="C49" s="198"/>
      <c r="D49" s="199">
        <v>9202290202</v>
      </c>
      <c r="E49" s="71" t="s">
        <v>3099</v>
      </c>
      <c r="F49" s="61"/>
      <c r="G49" s="62" t="s">
        <v>36</v>
      </c>
      <c r="H49" s="83">
        <v>32</v>
      </c>
    </row>
    <row r="50" spans="1:8" customFormat="1" ht="15">
      <c r="A50" s="34"/>
      <c r="B50" s="125"/>
      <c r="C50" s="125"/>
      <c r="D50" s="601"/>
      <c r="E50" s="168" t="s">
        <v>3100</v>
      </c>
      <c r="F50" s="603">
        <v>32</v>
      </c>
      <c r="G50" s="32"/>
      <c r="H50" s="83"/>
    </row>
    <row r="51" spans="1:8" customFormat="1" ht="15">
      <c r="A51" s="145"/>
      <c r="B51" s="35"/>
      <c r="C51" s="93"/>
      <c r="D51" s="94"/>
      <c r="E51" s="50"/>
      <c r="F51" s="100"/>
      <c r="G51" s="101"/>
      <c r="H51" s="83"/>
    </row>
    <row r="52" spans="1:8" ht="15">
      <c r="A52" s="72"/>
      <c r="B52" s="73"/>
      <c r="C52" s="66"/>
      <c r="D52" s="67"/>
      <c r="E52" s="84"/>
      <c r="F52" s="90"/>
      <c r="G52" s="62"/>
      <c r="H52" s="99"/>
    </row>
    <row r="53" spans="1:8" ht="13.5" thickBot="1">
      <c r="A53" s="106"/>
      <c r="B53" s="107"/>
      <c r="C53" s="107"/>
      <c r="D53" s="107"/>
      <c r="E53" s="108"/>
      <c r="F53" s="109"/>
      <c r="G53" s="107"/>
      <c r="H53" s="110"/>
    </row>
  </sheetData>
  <sheetProtection algorithmName="SHA-512" hashValue="+Or/Fn+EyNe5toyKJpoPyxCSTIUqfVCBM+b5fyfpyszO4SbXZxJaoFKDpJ3BMiQF90txJoeFu+1jlUa25lQYtg==" saltValue="eqsNuFr4rGlPaz5T6a4jp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E352-6BEE-4DA7-B8EE-28D83D93B195}">
  <sheetPr codeName="Hárok52"/>
  <dimension ref="A1:H6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f>H9</f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f>H12+H13</f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72</v>
      </c>
      <c r="C18" s="93"/>
      <c r="D18" s="94"/>
      <c r="E18" s="50" t="s">
        <v>73</v>
      </c>
      <c r="F18" s="100"/>
      <c r="G18" s="101"/>
      <c r="H18" s="42"/>
    </row>
    <row r="19" spans="1:8">
      <c r="A19" s="34"/>
      <c r="B19" s="125"/>
      <c r="C19" s="125"/>
      <c r="D19" s="601"/>
      <c r="E19" s="168"/>
      <c r="F19" s="603"/>
      <c r="G19" s="32"/>
      <c r="H19" s="83"/>
    </row>
    <row r="20" spans="1:8">
      <c r="A20" s="34">
        <f>MAX(A$1:A19)+1</f>
        <v>4</v>
      </c>
      <c r="B20" s="31"/>
      <c r="C20" s="36" t="s">
        <v>158</v>
      </c>
      <c r="D20" s="37"/>
      <c r="E20" s="38" t="s">
        <v>159</v>
      </c>
      <c r="F20" s="39"/>
      <c r="G20" s="40" t="s">
        <v>18</v>
      </c>
      <c r="H20" s="64">
        <f>H21</f>
        <v>0.19949999999999996</v>
      </c>
    </row>
    <row r="21" spans="1:8">
      <c r="A21" s="34"/>
      <c r="B21" s="31"/>
      <c r="C21" s="31"/>
      <c r="D21" s="67" t="s">
        <v>160</v>
      </c>
      <c r="E21" s="71" t="s">
        <v>161</v>
      </c>
      <c r="F21" s="61"/>
      <c r="G21" s="62" t="s">
        <v>18</v>
      </c>
      <c r="H21" s="83">
        <f>F22</f>
        <v>0.19949999999999996</v>
      </c>
    </row>
    <row r="22" spans="1:8">
      <c r="A22" s="34"/>
      <c r="B22" s="31"/>
      <c r="C22" s="31"/>
      <c r="D22" s="67"/>
      <c r="E22" s="168" t="s">
        <v>2884</v>
      </c>
      <c r="F22" s="46">
        <f>3*0.35*0.19</f>
        <v>0.19949999999999996</v>
      </c>
      <c r="G22" s="62"/>
      <c r="H22" s="83"/>
    </row>
    <row r="23" spans="1:8">
      <c r="A23" s="34"/>
      <c r="B23" s="31"/>
      <c r="C23" s="31"/>
      <c r="D23" s="67"/>
      <c r="E23" s="168"/>
      <c r="F23" s="46"/>
      <c r="G23" s="62"/>
      <c r="H23" s="83"/>
    </row>
    <row r="24" spans="1:8">
      <c r="A24" s="34">
        <f>MAX(A$1:A23)+1</f>
        <v>5</v>
      </c>
      <c r="B24" s="31"/>
      <c r="C24" s="36" t="s">
        <v>78</v>
      </c>
      <c r="D24" s="37"/>
      <c r="E24" s="38" t="s">
        <v>79</v>
      </c>
      <c r="F24" s="39"/>
      <c r="G24" s="40" t="s">
        <v>18</v>
      </c>
      <c r="H24" s="64">
        <f>H25</f>
        <v>0.19949999999999996</v>
      </c>
    </row>
    <row r="25" spans="1:8">
      <c r="A25" s="34"/>
      <c r="B25" s="31"/>
      <c r="C25" s="31"/>
      <c r="D25" s="67" t="s">
        <v>80</v>
      </c>
      <c r="E25" s="71" t="s">
        <v>81</v>
      </c>
      <c r="F25" s="61"/>
      <c r="G25" s="62" t="s">
        <v>18</v>
      </c>
      <c r="H25" s="83">
        <f>F26</f>
        <v>0.19949999999999996</v>
      </c>
    </row>
    <row r="26" spans="1:8">
      <c r="A26" s="34"/>
      <c r="B26" s="31"/>
      <c r="C26" s="31"/>
      <c r="D26" s="32"/>
      <c r="E26" s="168" t="s">
        <v>2884</v>
      </c>
      <c r="F26" s="46">
        <f>3*0.35*0.19</f>
        <v>0.19949999999999996</v>
      </c>
      <c r="G26" s="29"/>
      <c r="H26" s="30"/>
    </row>
    <row r="27" spans="1:8">
      <c r="A27" s="145"/>
      <c r="B27" s="31"/>
      <c r="C27" s="31"/>
      <c r="D27" s="32"/>
      <c r="E27" s="168"/>
      <c r="F27" s="46"/>
      <c r="G27" s="29"/>
      <c r="H27" s="30"/>
    </row>
    <row r="28" spans="1:8">
      <c r="A28" s="95"/>
      <c r="B28" s="35" t="s">
        <v>621</v>
      </c>
      <c r="C28" s="35"/>
      <c r="D28" s="94"/>
      <c r="E28" s="50" t="s">
        <v>622</v>
      </c>
      <c r="F28" s="100"/>
      <c r="G28" s="97"/>
      <c r="H28" s="42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92010207</v>
      </c>
      <c r="D30" s="196"/>
      <c r="E30" s="38" t="s">
        <v>2862</v>
      </c>
      <c r="F30" s="39"/>
      <c r="G30" s="40" t="s">
        <v>33</v>
      </c>
      <c r="H30" s="64">
        <f>H31</f>
        <v>2</v>
      </c>
    </row>
    <row r="31" spans="1:8" ht="25.5">
      <c r="A31" s="105"/>
      <c r="B31" s="73"/>
      <c r="C31" s="198"/>
      <c r="D31" s="199">
        <v>9201020702</v>
      </c>
      <c r="E31" s="71" t="s">
        <v>2863</v>
      </c>
      <c r="F31" s="61"/>
      <c r="G31" s="62" t="s">
        <v>33</v>
      </c>
      <c r="H31" s="83">
        <f>F34</f>
        <v>2</v>
      </c>
    </row>
    <row r="32" spans="1:8">
      <c r="A32" s="34"/>
      <c r="B32" s="125"/>
      <c r="C32" s="125"/>
      <c r="D32" s="601"/>
      <c r="E32" s="168" t="s">
        <v>3092</v>
      </c>
      <c r="F32" s="603">
        <v>1</v>
      </c>
      <c r="G32" s="32"/>
      <c r="H32" s="83"/>
    </row>
    <row r="33" spans="1:8" customFormat="1" ht="15">
      <c r="A33" s="34"/>
      <c r="B33" s="125"/>
      <c r="C33" s="125"/>
      <c r="D33" s="601"/>
      <c r="E33" s="168" t="s">
        <v>3093</v>
      </c>
      <c r="F33" s="705">
        <v>1</v>
      </c>
      <c r="G33" s="32"/>
      <c r="H33" s="83"/>
    </row>
    <row r="34" spans="1:8" customFormat="1" ht="15">
      <c r="A34" s="34"/>
      <c r="B34" s="125"/>
      <c r="C34" s="125"/>
      <c r="D34" s="601"/>
      <c r="E34" s="168" t="s">
        <v>1130</v>
      </c>
      <c r="F34" s="706">
        <f>SUM(F31:F33)</f>
        <v>2</v>
      </c>
      <c r="G34" s="32"/>
      <c r="H34" s="83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92020301</v>
      </c>
      <c r="D36" s="196"/>
      <c r="E36" s="38" t="s">
        <v>476</v>
      </c>
      <c r="F36" s="39"/>
      <c r="G36" s="40" t="s">
        <v>33</v>
      </c>
      <c r="H36" s="64">
        <f>H37</f>
        <v>2</v>
      </c>
    </row>
    <row r="37" spans="1:8" customFormat="1" ht="25.5">
      <c r="A37" s="72"/>
      <c r="B37" s="73"/>
      <c r="C37" s="198"/>
      <c r="D37" s="199">
        <v>9202030102</v>
      </c>
      <c r="E37" s="71" t="s">
        <v>490</v>
      </c>
      <c r="F37" s="61"/>
      <c r="G37" s="62" t="s">
        <v>33</v>
      </c>
      <c r="H37" s="83">
        <f>F38</f>
        <v>2</v>
      </c>
    </row>
    <row r="38" spans="1:8" customFormat="1" ht="15">
      <c r="A38" s="34"/>
      <c r="B38" s="125"/>
      <c r="C38" s="125"/>
      <c r="D38" s="601"/>
      <c r="E38" s="168" t="s">
        <v>3094</v>
      </c>
      <c r="F38" s="603">
        <v>2</v>
      </c>
      <c r="G38" s="32"/>
      <c r="H38" s="83"/>
    </row>
    <row r="39" spans="1:8" customFormat="1" ht="15">
      <c r="A39" s="34"/>
      <c r="B39" s="125"/>
      <c r="C39" s="125"/>
      <c r="D39" s="601"/>
      <c r="E39" s="193"/>
      <c r="F39" s="603"/>
      <c r="G39" s="32"/>
      <c r="H39" s="83"/>
    </row>
    <row r="40" spans="1:8" customFormat="1" ht="25.5">
      <c r="A40" s="34">
        <f>MAX(A$1:A39)+1</f>
        <v>8</v>
      </c>
      <c r="B40" s="43"/>
      <c r="C40" s="195">
        <v>92020702</v>
      </c>
      <c r="D40" s="196"/>
      <c r="E40" s="38" t="s">
        <v>718</v>
      </c>
      <c r="F40" s="39"/>
      <c r="G40" s="40" t="s">
        <v>33</v>
      </c>
      <c r="H40" s="64">
        <f>H41</f>
        <v>4</v>
      </c>
    </row>
    <row r="41" spans="1:8" customFormat="1" ht="25.5">
      <c r="A41" s="72"/>
      <c r="B41" s="73"/>
      <c r="C41" s="198"/>
      <c r="D41" s="199">
        <v>9202070202</v>
      </c>
      <c r="E41" s="71" t="s">
        <v>719</v>
      </c>
      <c r="F41" s="61"/>
      <c r="G41" s="62" t="s">
        <v>33</v>
      </c>
      <c r="H41" s="83">
        <f>F42</f>
        <v>4</v>
      </c>
    </row>
    <row r="42" spans="1:8" customFormat="1" ht="15">
      <c r="A42" s="34"/>
      <c r="B42" s="125"/>
      <c r="C42" s="125"/>
      <c r="D42" s="601"/>
      <c r="E42" s="168" t="s">
        <v>1386</v>
      </c>
      <c r="F42" s="603">
        <v>4</v>
      </c>
      <c r="G42" s="32"/>
      <c r="H42" s="83"/>
    </row>
    <row r="43" spans="1:8" customFormat="1" ht="15">
      <c r="A43" s="34"/>
      <c r="B43" s="125"/>
      <c r="C43" s="125"/>
      <c r="D43" s="601"/>
      <c r="E43" s="193"/>
      <c r="F43" s="603"/>
      <c r="G43" s="32"/>
      <c r="H43" s="83"/>
    </row>
    <row r="44" spans="1:8" customFormat="1" ht="25.5">
      <c r="A44" s="34">
        <f>MAX(A$1:A43)+1</f>
        <v>9</v>
      </c>
      <c r="B44" s="43"/>
      <c r="C44" s="195">
        <v>92022705</v>
      </c>
      <c r="D44" s="196"/>
      <c r="E44" s="38" t="s">
        <v>2784</v>
      </c>
      <c r="F44" s="39"/>
      <c r="G44" s="40" t="s">
        <v>33</v>
      </c>
      <c r="H44" s="64">
        <f>H45</f>
        <v>3</v>
      </c>
    </row>
    <row r="45" spans="1:8" customFormat="1" ht="25.5">
      <c r="A45" s="72"/>
      <c r="B45" s="73"/>
      <c r="C45" s="198"/>
      <c r="D45" s="198">
        <v>9202270506</v>
      </c>
      <c r="E45" s="71" t="s">
        <v>2785</v>
      </c>
      <c r="F45" s="61"/>
      <c r="G45" s="62" t="s">
        <v>33</v>
      </c>
      <c r="H45" s="83">
        <f>F49</f>
        <v>3</v>
      </c>
    </row>
    <row r="46" spans="1:8" customFormat="1" ht="15">
      <c r="A46" s="34"/>
      <c r="B46" s="125"/>
      <c r="C46" s="125"/>
      <c r="D46" s="601"/>
      <c r="E46" s="168" t="s">
        <v>2919</v>
      </c>
      <c r="F46" s="603">
        <v>1</v>
      </c>
      <c r="G46" s="32"/>
      <c r="H46" s="83"/>
    </row>
    <row r="47" spans="1:8" customFormat="1" ht="15">
      <c r="A47" s="34"/>
      <c r="B47" s="125"/>
      <c r="C47" s="125"/>
      <c r="D47" s="601"/>
      <c r="E47" s="168" t="s">
        <v>2866</v>
      </c>
      <c r="F47" s="603">
        <v>1</v>
      </c>
      <c r="G47" s="32"/>
      <c r="H47" s="83"/>
    </row>
    <row r="48" spans="1:8" customFormat="1" ht="15">
      <c r="A48" s="34"/>
      <c r="B48" s="125"/>
      <c r="C48" s="125"/>
      <c r="D48" s="601"/>
      <c r="E48" s="168" t="s">
        <v>2787</v>
      </c>
      <c r="F48" s="705">
        <v>1</v>
      </c>
      <c r="G48" s="32"/>
      <c r="H48" s="83"/>
    </row>
    <row r="49" spans="1:8" customFormat="1" ht="15">
      <c r="A49" s="34"/>
      <c r="B49" s="125"/>
      <c r="C49" s="125"/>
      <c r="D49" s="601"/>
      <c r="E49" s="168" t="s">
        <v>1130</v>
      </c>
      <c r="F49" s="706">
        <f>SUM(F46:F48)</f>
        <v>3</v>
      </c>
      <c r="G49" s="32"/>
      <c r="H49" s="83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25.5">
      <c r="A51" s="34">
        <f>MAX(A$1:A50)+1</f>
        <v>10</v>
      </c>
      <c r="B51" s="43"/>
      <c r="C51" s="195">
        <v>92022801</v>
      </c>
      <c r="D51" s="196"/>
      <c r="E51" s="38" t="s">
        <v>2867</v>
      </c>
      <c r="F51" s="39"/>
      <c r="G51" s="40" t="s">
        <v>36</v>
      </c>
      <c r="H51" s="64">
        <f>H52+H54</f>
        <v>7</v>
      </c>
    </row>
    <row r="52" spans="1:8" ht="25.5">
      <c r="A52" s="72"/>
      <c r="B52" s="73"/>
      <c r="C52" s="198"/>
      <c r="D52" s="199">
        <v>9202280102</v>
      </c>
      <c r="E52" s="71" t="s">
        <v>3095</v>
      </c>
      <c r="F52" s="61"/>
      <c r="G52" s="62" t="s">
        <v>36</v>
      </c>
      <c r="H52" s="83">
        <f>F53</f>
        <v>5</v>
      </c>
    </row>
    <row r="53" spans="1:8">
      <c r="A53" s="34"/>
      <c r="B53" s="125"/>
      <c r="C53" s="125"/>
      <c r="D53" s="601"/>
      <c r="E53" s="168" t="s">
        <v>3096</v>
      </c>
      <c r="F53" s="603">
        <v>5</v>
      </c>
      <c r="G53" s="32"/>
      <c r="H53" s="83"/>
    </row>
    <row r="54" spans="1:8" ht="25.5">
      <c r="A54" s="72"/>
      <c r="B54" s="73"/>
      <c r="C54" s="198"/>
      <c r="D54" s="199">
        <v>9202280104</v>
      </c>
      <c r="E54" s="71" t="s">
        <v>2868</v>
      </c>
      <c r="F54" s="61"/>
      <c r="G54" s="62" t="s">
        <v>33</v>
      </c>
      <c r="H54" s="83">
        <f>F55</f>
        <v>2</v>
      </c>
    </row>
    <row r="55" spans="1:8">
      <c r="A55" s="34"/>
      <c r="B55" s="125"/>
      <c r="C55" s="125"/>
      <c r="D55" s="601"/>
      <c r="E55" s="168" t="s">
        <v>3097</v>
      </c>
      <c r="F55" s="603">
        <v>2</v>
      </c>
      <c r="G55" s="32"/>
      <c r="H55" s="83"/>
    </row>
    <row r="56" spans="1:8">
      <c r="A56" s="34"/>
      <c r="B56" s="125"/>
      <c r="C56" s="125"/>
      <c r="D56" s="601"/>
      <c r="E56" s="168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92022902</v>
      </c>
      <c r="D57" s="196"/>
      <c r="E57" s="38" t="s">
        <v>3098</v>
      </c>
      <c r="F57" s="39"/>
      <c r="G57" s="40" t="s">
        <v>36</v>
      </c>
      <c r="H57" s="64">
        <f>H58</f>
        <v>16</v>
      </c>
    </row>
    <row r="58" spans="1:8" ht="25.5">
      <c r="A58" s="72"/>
      <c r="B58" s="73"/>
      <c r="C58" s="198"/>
      <c r="D58" s="199">
        <v>9202290202</v>
      </c>
      <c r="E58" s="71" t="s">
        <v>3099</v>
      </c>
      <c r="F58" s="61"/>
      <c r="G58" s="62" t="s">
        <v>36</v>
      </c>
      <c r="H58" s="83">
        <f>F59</f>
        <v>16</v>
      </c>
    </row>
    <row r="59" spans="1:8">
      <c r="A59" s="34"/>
      <c r="B59" s="125"/>
      <c r="C59" s="125"/>
      <c r="D59" s="601"/>
      <c r="E59" s="168" t="s">
        <v>3100</v>
      </c>
      <c r="F59" s="603">
        <v>16</v>
      </c>
      <c r="G59" s="32"/>
      <c r="H59" s="83"/>
    </row>
    <row r="60" spans="1:8" ht="13.5" thickBot="1">
      <c r="A60" s="106"/>
      <c r="B60" s="107"/>
      <c r="C60" s="107"/>
      <c r="D60" s="107"/>
      <c r="E60" s="108"/>
      <c r="F60" s="109"/>
      <c r="G60" s="107"/>
      <c r="H60" s="110"/>
    </row>
  </sheetData>
  <sheetProtection algorithmName="SHA-512" hashValue="5N2Y2XkjHowfVSmcuMuEhiSrbBM5TD4464/YSJ43QMKogd1iqV+a9bPKSOonDPXYPyFF6NOMOj/sfCrVUWvdHA==" saltValue="TkkKC4uI8aCySVy0GxHWF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4FB66-53D9-4F0C-B943-91E9987FAEF6}">
  <sheetPr codeName="Hárok53"/>
  <dimension ref="A1:H6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3104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72</v>
      </c>
      <c r="C18" s="93"/>
      <c r="D18" s="94"/>
      <c r="E18" s="50" t="s">
        <v>73</v>
      </c>
      <c r="F18" s="100"/>
      <c r="G18" s="101"/>
      <c r="H18" s="42"/>
    </row>
    <row r="19" spans="1:8">
      <c r="A19" s="34"/>
      <c r="B19" s="125"/>
      <c r="C19" s="125"/>
      <c r="D19" s="601"/>
      <c r="E19" s="168"/>
      <c r="F19" s="603"/>
      <c r="G19" s="32"/>
      <c r="H19" s="83"/>
    </row>
    <row r="20" spans="1:8">
      <c r="A20" s="34">
        <f>MAX(A$1:A19)+1</f>
        <v>4</v>
      </c>
      <c r="B20" s="31"/>
      <c r="C20" s="36" t="s">
        <v>158</v>
      </c>
      <c r="D20" s="37"/>
      <c r="E20" s="38" t="s">
        <v>159</v>
      </c>
      <c r="F20" s="39"/>
      <c r="G20" s="40" t="s">
        <v>18</v>
      </c>
      <c r="H20" s="64">
        <v>0.2</v>
      </c>
    </row>
    <row r="21" spans="1:8">
      <c r="A21" s="34"/>
      <c r="B21" s="31"/>
      <c r="C21" s="31"/>
      <c r="D21" s="67" t="s">
        <v>160</v>
      </c>
      <c r="E21" s="71" t="s">
        <v>161</v>
      </c>
      <c r="F21" s="61"/>
      <c r="G21" s="62" t="s">
        <v>18</v>
      </c>
      <c r="H21" s="83">
        <v>0.2</v>
      </c>
    </row>
    <row r="22" spans="1:8">
      <c r="A22" s="34"/>
      <c r="B22" s="31"/>
      <c r="C22" s="31"/>
      <c r="D22" s="67"/>
      <c r="E22" s="168" t="s">
        <v>2884</v>
      </c>
      <c r="F22" s="46">
        <f>3*0.35*0.19</f>
        <v>0.19949999999999996</v>
      </c>
      <c r="G22" s="6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34">
        <f>MAX(A$1:A23)+1</f>
        <v>5</v>
      </c>
      <c r="B24" s="31"/>
      <c r="C24" s="36" t="s">
        <v>78</v>
      </c>
      <c r="D24" s="37"/>
      <c r="E24" s="38" t="s">
        <v>79</v>
      </c>
      <c r="F24" s="39"/>
      <c r="G24" s="40" t="s">
        <v>18</v>
      </c>
      <c r="H24" s="64">
        <v>0.2</v>
      </c>
    </row>
    <row r="25" spans="1:8">
      <c r="A25" s="34"/>
      <c r="B25" s="31"/>
      <c r="C25" s="31"/>
      <c r="D25" s="67" t="s">
        <v>80</v>
      </c>
      <c r="E25" s="71" t="s">
        <v>81</v>
      </c>
      <c r="F25" s="61"/>
      <c r="G25" s="62" t="s">
        <v>18</v>
      </c>
      <c r="H25" s="83">
        <v>0.2</v>
      </c>
    </row>
    <row r="26" spans="1:8">
      <c r="A26" s="34"/>
      <c r="B26" s="31"/>
      <c r="C26" s="31"/>
      <c r="D26" s="32"/>
      <c r="E26" s="168" t="s">
        <v>2884</v>
      </c>
      <c r="F26" s="46">
        <f>3*0.35*0.19</f>
        <v>0.19949999999999996</v>
      </c>
      <c r="G26" s="29"/>
      <c r="H26" s="30"/>
    </row>
    <row r="27" spans="1:8">
      <c r="A27" s="145"/>
      <c r="B27" s="31"/>
      <c r="C27" s="31"/>
      <c r="D27" s="32"/>
      <c r="E27" s="168"/>
      <c r="F27" s="603"/>
      <c r="G27" s="29"/>
      <c r="H27" s="30"/>
    </row>
    <row r="28" spans="1:8">
      <c r="A28" s="95"/>
      <c r="B28" s="35" t="s">
        <v>621</v>
      </c>
      <c r="C28" s="35"/>
      <c r="D28" s="94"/>
      <c r="E28" s="50" t="s">
        <v>622</v>
      </c>
      <c r="F28" s="100"/>
      <c r="G28" s="97"/>
      <c r="H28" s="42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92010207</v>
      </c>
      <c r="D30" s="196"/>
      <c r="E30" s="38" t="s">
        <v>2862</v>
      </c>
      <c r="F30" s="39"/>
      <c r="G30" s="40" t="s">
        <v>33</v>
      </c>
      <c r="H30" s="64">
        <v>2</v>
      </c>
    </row>
    <row r="31" spans="1:8" ht="25.5">
      <c r="A31" s="105"/>
      <c r="B31" s="73"/>
      <c r="C31" s="198"/>
      <c r="D31" s="199">
        <v>9201020702</v>
      </c>
      <c r="E31" s="71" t="s">
        <v>2863</v>
      </c>
      <c r="F31" s="61"/>
      <c r="G31" s="62" t="s">
        <v>33</v>
      </c>
      <c r="H31" s="83">
        <v>2</v>
      </c>
    </row>
    <row r="32" spans="1:8">
      <c r="A32" s="34"/>
      <c r="B32" s="125"/>
      <c r="C32" s="125"/>
      <c r="D32" s="601"/>
      <c r="E32" s="168" t="s">
        <v>3092</v>
      </c>
      <c r="F32" s="603">
        <v>1</v>
      </c>
      <c r="G32" s="32"/>
      <c r="H32" s="83"/>
    </row>
    <row r="33" spans="1:8" customFormat="1" ht="15">
      <c r="A33" s="34"/>
      <c r="B33" s="125"/>
      <c r="C33" s="125"/>
      <c r="D33" s="601"/>
      <c r="E33" s="168" t="s">
        <v>3093</v>
      </c>
      <c r="F33" s="705">
        <v>1</v>
      </c>
      <c r="G33" s="32"/>
      <c r="H33" s="83"/>
    </row>
    <row r="34" spans="1:8" customFormat="1" ht="15">
      <c r="A34" s="34"/>
      <c r="B34" s="125"/>
      <c r="C34" s="125"/>
      <c r="D34" s="601"/>
      <c r="E34" s="168" t="s">
        <v>1130</v>
      </c>
      <c r="F34" s="706">
        <f>SUM(F31:F33)</f>
        <v>2</v>
      </c>
      <c r="G34" s="32"/>
      <c r="H34" s="83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92020301</v>
      </c>
      <c r="D36" s="196"/>
      <c r="E36" s="38" t="s">
        <v>476</v>
      </c>
      <c r="F36" s="39"/>
      <c r="G36" s="40" t="s">
        <v>33</v>
      </c>
      <c r="H36" s="64">
        <v>2</v>
      </c>
    </row>
    <row r="37" spans="1:8" customFormat="1" ht="25.5">
      <c r="A37" s="72"/>
      <c r="B37" s="73"/>
      <c r="C37" s="198"/>
      <c r="D37" s="199">
        <v>9202030102</v>
      </c>
      <c r="E37" s="71" t="s">
        <v>490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3094</v>
      </c>
      <c r="F38" s="603">
        <v>2</v>
      </c>
      <c r="G38" s="32"/>
      <c r="H38" s="83"/>
    </row>
    <row r="39" spans="1:8" customFormat="1" ht="15">
      <c r="A39" s="34"/>
      <c r="B39" s="125"/>
      <c r="C39" s="125"/>
      <c r="D39" s="601"/>
      <c r="E39" s="193"/>
      <c r="F39" s="603"/>
      <c r="G39" s="32"/>
      <c r="H39" s="83"/>
    </row>
    <row r="40" spans="1:8" customFormat="1" ht="25.5">
      <c r="A40" s="34">
        <f>MAX(A$1:A39)+1</f>
        <v>8</v>
      </c>
      <c r="B40" s="43"/>
      <c r="C40" s="195">
        <v>92020702</v>
      </c>
      <c r="D40" s="196"/>
      <c r="E40" s="38" t="s">
        <v>718</v>
      </c>
      <c r="F40" s="39"/>
      <c r="G40" s="40" t="s">
        <v>33</v>
      </c>
      <c r="H40" s="64">
        <v>4</v>
      </c>
    </row>
    <row r="41" spans="1:8" customFormat="1" ht="25.5">
      <c r="A41" s="72"/>
      <c r="B41" s="73"/>
      <c r="C41" s="198"/>
      <c r="D41" s="199">
        <v>9202070202</v>
      </c>
      <c r="E41" s="71" t="s">
        <v>719</v>
      </c>
      <c r="F41" s="61"/>
      <c r="G41" s="62" t="s">
        <v>33</v>
      </c>
      <c r="H41" s="83">
        <v>4</v>
      </c>
    </row>
    <row r="42" spans="1:8" customFormat="1" ht="15">
      <c r="A42" s="34"/>
      <c r="B42" s="125"/>
      <c r="C42" s="125"/>
      <c r="D42" s="601"/>
      <c r="E42" s="168" t="s">
        <v>1386</v>
      </c>
      <c r="F42" s="603">
        <v>4</v>
      </c>
      <c r="G42" s="32"/>
      <c r="H42" s="83"/>
    </row>
    <row r="43" spans="1:8" customFormat="1" ht="15">
      <c r="A43" s="34"/>
      <c r="B43" s="125"/>
      <c r="C43" s="125"/>
      <c r="D43" s="601"/>
      <c r="E43" s="193"/>
      <c r="F43" s="603"/>
      <c r="G43" s="32"/>
      <c r="H43" s="83"/>
    </row>
    <row r="44" spans="1:8" customFormat="1" ht="25.5">
      <c r="A44" s="34">
        <f>MAX(A$1:A43)+1</f>
        <v>9</v>
      </c>
      <c r="B44" s="43"/>
      <c r="C44" s="195">
        <v>92022705</v>
      </c>
      <c r="D44" s="196"/>
      <c r="E44" s="38" t="s">
        <v>2784</v>
      </c>
      <c r="F44" s="39"/>
      <c r="G44" s="40" t="s">
        <v>33</v>
      </c>
      <c r="H44" s="64">
        <v>3</v>
      </c>
    </row>
    <row r="45" spans="1:8" customFormat="1" ht="25.5">
      <c r="A45" s="72"/>
      <c r="B45" s="73"/>
      <c r="C45" s="198"/>
      <c r="D45" s="198">
        <v>9202270506</v>
      </c>
      <c r="E45" s="71" t="s">
        <v>2785</v>
      </c>
      <c r="F45" s="61"/>
      <c r="G45" s="62" t="s">
        <v>33</v>
      </c>
      <c r="H45" s="83">
        <v>3</v>
      </c>
    </row>
    <row r="46" spans="1:8" customFormat="1" ht="15">
      <c r="A46" s="34"/>
      <c r="B46" s="125"/>
      <c r="C46" s="125"/>
      <c r="D46" s="601"/>
      <c r="E46" s="168" t="s">
        <v>2919</v>
      </c>
      <c r="F46" s="603">
        <v>1</v>
      </c>
      <c r="G46" s="32"/>
      <c r="H46" s="83"/>
    </row>
    <row r="47" spans="1:8" customFormat="1" ht="15">
      <c r="A47" s="34"/>
      <c r="B47" s="125"/>
      <c r="C47" s="125"/>
      <c r="D47" s="601"/>
      <c r="E47" s="168" t="s">
        <v>2866</v>
      </c>
      <c r="F47" s="603">
        <v>1</v>
      </c>
      <c r="G47" s="32"/>
      <c r="H47" s="83"/>
    </row>
    <row r="48" spans="1:8" customFormat="1" ht="15">
      <c r="A48" s="34"/>
      <c r="B48" s="125"/>
      <c r="C48" s="125"/>
      <c r="D48" s="601"/>
      <c r="E48" s="168" t="s">
        <v>2787</v>
      </c>
      <c r="F48" s="705">
        <v>1</v>
      </c>
      <c r="G48" s="32"/>
      <c r="H48" s="83"/>
    </row>
    <row r="49" spans="1:8" customFormat="1" ht="15">
      <c r="A49" s="34"/>
      <c r="B49" s="125"/>
      <c r="C49" s="125"/>
      <c r="D49" s="601"/>
      <c r="E49" s="168" t="s">
        <v>1130</v>
      </c>
      <c r="F49" s="706">
        <f>SUM(F46:F48)</f>
        <v>3</v>
      </c>
      <c r="G49" s="32"/>
      <c r="H49" s="83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25.5">
      <c r="A51" s="34">
        <f>MAX(A$1:A50)+1</f>
        <v>10</v>
      </c>
      <c r="B51" s="43"/>
      <c r="C51" s="195">
        <v>92022801</v>
      </c>
      <c r="D51" s="196"/>
      <c r="E51" s="38" t="s">
        <v>2867</v>
      </c>
      <c r="F51" s="39"/>
      <c r="G51" s="40" t="s">
        <v>36</v>
      </c>
      <c r="H51" s="64">
        <v>7</v>
      </c>
    </row>
    <row r="52" spans="1:8" ht="25.5">
      <c r="A52" s="72"/>
      <c r="B52" s="73"/>
      <c r="C52" s="198"/>
      <c r="D52" s="199">
        <v>9202280102</v>
      </c>
      <c r="E52" s="71" t="s">
        <v>3095</v>
      </c>
      <c r="F52" s="61"/>
      <c r="G52" s="62" t="s">
        <v>36</v>
      </c>
      <c r="H52" s="83">
        <v>5</v>
      </c>
    </row>
    <row r="53" spans="1:8">
      <c r="A53" s="34"/>
      <c r="B53" s="125"/>
      <c r="C53" s="125"/>
      <c r="D53" s="601"/>
      <c r="E53" s="168" t="s">
        <v>3096</v>
      </c>
      <c r="F53" s="603">
        <v>5</v>
      </c>
      <c r="G53" s="32"/>
      <c r="H53" s="83"/>
    </row>
    <row r="54" spans="1:8">
      <c r="A54" s="34"/>
      <c r="B54" s="125"/>
      <c r="C54" s="125"/>
      <c r="D54" s="601"/>
      <c r="E54" s="168"/>
      <c r="F54" s="603"/>
      <c r="G54" s="32"/>
      <c r="H54" s="83"/>
    </row>
    <row r="55" spans="1:8" ht="25.5">
      <c r="A55" s="72"/>
      <c r="B55" s="73"/>
      <c r="C55" s="198"/>
      <c r="D55" s="199">
        <v>9202280104</v>
      </c>
      <c r="E55" s="71" t="s">
        <v>2868</v>
      </c>
      <c r="F55" s="61"/>
      <c r="G55" s="62" t="s">
        <v>33</v>
      </c>
      <c r="H55" s="83">
        <v>2</v>
      </c>
    </row>
    <row r="56" spans="1:8">
      <c r="A56" s="34"/>
      <c r="B56" s="125"/>
      <c r="C56" s="125"/>
      <c r="D56" s="601"/>
      <c r="E56" s="168" t="s">
        <v>3097</v>
      </c>
      <c r="F56" s="603">
        <v>2</v>
      </c>
      <c r="G56" s="32"/>
      <c r="H56" s="83"/>
    </row>
    <row r="57" spans="1:8">
      <c r="A57" s="34"/>
      <c r="B57" s="125"/>
      <c r="C57" s="125"/>
      <c r="D57" s="601"/>
      <c r="E57" s="168"/>
      <c r="F57" s="603"/>
      <c r="G57" s="32"/>
      <c r="H57" s="83"/>
    </row>
    <row r="58" spans="1:8" ht="25.5">
      <c r="A58" s="34">
        <f>MAX(A$1:A57)+1</f>
        <v>11</v>
      </c>
      <c r="B58" s="43"/>
      <c r="C58" s="195">
        <v>92022902</v>
      </c>
      <c r="D58" s="196"/>
      <c r="E58" s="38" t="s">
        <v>3098</v>
      </c>
      <c r="F58" s="39"/>
      <c r="G58" s="40" t="s">
        <v>36</v>
      </c>
      <c r="H58" s="64">
        <v>16</v>
      </c>
    </row>
    <row r="59" spans="1:8" ht="25.5">
      <c r="A59" s="72"/>
      <c r="B59" s="73"/>
      <c r="C59" s="198"/>
      <c r="D59" s="199">
        <v>9202290202</v>
      </c>
      <c r="E59" s="71" t="s">
        <v>3099</v>
      </c>
      <c r="F59" s="61"/>
      <c r="G59" s="62" t="s">
        <v>36</v>
      </c>
      <c r="H59" s="83">
        <v>16</v>
      </c>
    </row>
    <row r="60" spans="1:8">
      <c r="A60" s="34"/>
      <c r="B60" s="125"/>
      <c r="C60" s="125"/>
      <c r="D60" s="601"/>
      <c r="E60" s="168" t="s">
        <v>3100</v>
      </c>
      <c r="F60" s="603">
        <v>16</v>
      </c>
      <c r="G60" s="32"/>
      <c r="H60" s="83"/>
    </row>
    <row r="61" spans="1:8">
      <c r="A61" s="34"/>
      <c r="B61" s="43"/>
      <c r="C61" s="36"/>
      <c r="D61" s="37"/>
      <c r="E61" s="38"/>
      <c r="F61" s="46"/>
      <c r="G61" s="40"/>
      <c r="H61" s="254"/>
    </row>
    <row r="62" spans="1:8" ht="15">
      <c r="A62" s="72"/>
      <c r="B62" s="73"/>
      <c r="C62" s="66"/>
      <c r="D62" s="67"/>
      <c r="E62" s="84"/>
      <c r="F62" s="90"/>
      <c r="G62" s="62"/>
      <c r="H62" s="99"/>
    </row>
    <row r="63" spans="1:8" ht="13.5" thickBot="1">
      <c r="A63" s="106"/>
      <c r="B63" s="107"/>
      <c r="C63" s="107"/>
      <c r="D63" s="107"/>
      <c r="E63" s="108"/>
      <c r="F63" s="109"/>
      <c r="G63" s="107"/>
      <c r="H63" s="110"/>
    </row>
  </sheetData>
  <sheetProtection algorithmName="SHA-512" hashValue="Mi5aZcrwOFgsDIRINkGJXQg892NXdOpef0589uvmWFaa0uHFUtjc7QRvcsXq1zdtZ0+CsvJYufjJwxsAU69l4Q==" saltValue="hv4cS0HfLBNcUCIVED6Rr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F4BDB-F9E4-4DC1-8250-4DAE6BC22848}">
  <sheetPr codeName="Hárok54"/>
  <dimension ref="A1:H6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3106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15.75">
      <c r="A18" s="47"/>
      <c r="B18" s="24" t="s">
        <v>19</v>
      </c>
      <c r="C18" s="48"/>
      <c r="D18" s="49"/>
      <c r="E18" s="50" t="s">
        <v>20</v>
      </c>
      <c r="F18" s="1248"/>
      <c r="G18" s="1252"/>
      <c r="H18" s="42"/>
    </row>
    <row r="19" spans="1:8" ht="15.75">
      <c r="A19" s="47"/>
      <c r="B19" s="24"/>
      <c r="C19" s="48"/>
      <c r="D19" s="49"/>
      <c r="E19" s="50"/>
      <c r="F19" s="1248"/>
      <c r="G19" s="1252"/>
      <c r="H19" s="42"/>
    </row>
    <row r="20" spans="1:8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</v>
      </c>
    </row>
    <row r="21" spans="1:8" ht="38.25">
      <c r="A21" s="72"/>
      <c r="B21" s="73"/>
      <c r="C21" s="66"/>
      <c r="D21" s="67" t="s">
        <v>491</v>
      </c>
      <c r="E21" s="71" t="s">
        <v>492</v>
      </c>
      <c r="F21" s="61"/>
      <c r="G21" s="62" t="s">
        <v>33</v>
      </c>
      <c r="H21" s="83">
        <v>1</v>
      </c>
    </row>
    <row r="22" spans="1:8">
      <c r="A22" s="34"/>
      <c r="B22" s="125"/>
      <c r="C22" s="125"/>
      <c r="D22" s="601"/>
      <c r="E22" s="168" t="s">
        <v>2896</v>
      </c>
      <c r="F22" s="603">
        <v>1</v>
      </c>
      <c r="G22" s="3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</row>
    <row r="25" spans="1:8">
      <c r="A25" s="34"/>
      <c r="B25" s="125"/>
      <c r="C25" s="125"/>
      <c r="D25" s="601"/>
      <c r="E25" s="168"/>
      <c r="F25" s="603"/>
      <c r="G25" s="32"/>
      <c r="H25" s="83"/>
    </row>
    <row r="26" spans="1:8">
      <c r="A26" s="34">
        <f>MAX(A$1:A25)+1</f>
        <v>5</v>
      </c>
      <c r="B26" s="31"/>
      <c r="C26" s="36" t="s">
        <v>158</v>
      </c>
      <c r="D26" s="37"/>
      <c r="E26" s="38" t="s">
        <v>159</v>
      </c>
      <c r="F26" s="39"/>
      <c r="G26" s="40" t="s">
        <v>18</v>
      </c>
      <c r="H26" s="64">
        <v>0.8</v>
      </c>
    </row>
    <row r="27" spans="1:8">
      <c r="A27" s="34"/>
      <c r="B27" s="31"/>
      <c r="C27" s="31"/>
      <c r="D27" s="67" t="s">
        <v>160</v>
      </c>
      <c r="E27" s="71" t="s">
        <v>161</v>
      </c>
      <c r="F27" s="61"/>
      <c r="G27" s="62" t="s">
        <v>18</v>
      </c>
      <c r="H27" s="83">
        <v>0.8</v>
      </c>
    </row>
    <row r="28" spans="1:8">
      <c r="A28" s="34"/>
      <c r="B28" s="31"/>
      <c r="C28" s="31"/>
      <c r="D28" s="67"/>
      <c r="E28" s="168" t="s">
        <v>3107</v>
      </c>
      <c r="F28" s="46">
        <f>12*0.35*0.19</f>
        <v>0.79799999999999982</v>
      </c>
      <c r="G28" s="62"/>
      <c r="H28" s="83"/>
    </row>
    <row r="29" spans="1:8">
      <c r="A29" s="34"/>
      <c r="B29" s="125"/>
      <c r="C29" s="125"/>
      <c r="D29" s="601"/>
      <c r="E29" s="168"/>
      <c r="F29" s="603"/>
      <c r="G29" s="32"/>
      <c r="H29" s="83"/>
    </row>
    <row r="30" spans="1:8">
      <c r="A30" s="34">
        <f>MAX(A$1:A29)+1</f>
        <v>6</v>
      </c>
      <c r="B30" s="31"/>
      <c r="C30" s="36" t="s">
        <v>78</v>
      </c>
      <c r="D30" s="37"/>
      <c r="E30" s="38" t="s">
        <v>79</v>
      </c>
      <c r="F30" s="39"/>
      <c r="G30" s="40" t="s">
        <v>18</v>
      </c>
      <c r="H30" s="64">
        <v>0.8</v>
      </c>
    </row>
    <row r="31" spans="1:8">
      <c r="A31" s="34"/>
      <c r="B31" s="31"/>
      <c r="C31" s="31"/>
      <c r="D31" s="67" t="s">
        <v>80</v>
      </c>
      <c r="E31" s="71" t="s">
        <v>81</v>
      </c>
      <c r="F31" s="61"/>
      <c r="G31" s="62" t="s">
        <v>18</v>
      </c>
      <c r="H31" s="83">
        <v>0.8</v>
      </c>
    </row>
    <row r="32" spans="1:8">
      <c r="A32" s="34"/>
      <c r="B32" s="31"/>
      <c r="C32" s="31"/>
      <c r="D32" s="32"/>
      <c r="E32" s="168" t="s">
        <v>3107</v>
      </c>
      <c r="F32" s="46">
        <f>12*0.35*0.19</f>
        <v>0.79799999999999982</v>
      </c>
      <c r="G32" s="29"/>
      <c r="H32" s="30"/>
    </row>
    <row r="33" spans="1:8" customFormat="1" ht="15">
      <c r="A33" s="145"/>
      <c r="B33" s="31"/>
      <c r="C33" s="31"/>
      <c r="D33" s="32"/>
      <c r="E33" s="168"/>
      <c r="F33" s="603"/>
      <c r="G33" s="29"/>
      <c r="H33" s="30"/>
    </row>
    <row r="34" spans="1:8" customFormat="1" ht="15">
      <c r="A34" s="95"/>
      <c r="B34" s="35" t="s">
        <v>621</v>
      </c>
      <c r="C34" s="35"/>
      <c r="D34" s="94"/>
      <c r="E34" s="50" t="s">
        <v>622</v>
      </c>
      <c r="F34" s="100"/>
      <c r="G34" s="97"/>
      <c r="H34" s="42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92010207</v>
      </c>
      <c r="D36" s="196"/>
      <c r="E36" s="38" t="s">
        <v>2862</v>
      </c>
      <c r="F36" s="39"/>
      <c r="G36" s="40" t="s">
        <v>33</v>
      </c>
      <c r="H36" s="64">
        <v>2</v>
      </c>
    </row>
    <row r="37" spans="1:8" customFormat="1" ht="25.5">
      <c r="A37" s="105"/>
      <c r="B37" s="73"/>
      <c r="C37" s="198"/>
      <c r="D37" s="199">
        <v>9201020702</v>
      </c>
      <c r="E37" s="71" t="s">
        <v>2863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3092</v>
      </c>
      <c r="F38" s="603">
        <v>1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3093</v>
      </c>
      <c r="F39" s="705">
        <v>1</v>
      </c>
      <c r="G39" s="32"/>
      <c r="H39" s="83"/>
    </row>
    <row r="40" spans="1:8" customFormat="1" ht="15">
      <c r="A40" s="34"/>
      <c r="B40" s="125"/>
      <c r="C40" s="125"/>
      <c r="D40" s="601"/>
      <c r="E40" s="168" t="s">
        <v>1130</v>
      </c>
      <c r="F40" s="706">
        <f>SUM(F37:F39)</f>
        <v>2</v>
      </c>
      <c r="G40" s="32"/>
      <c r="H40" s="83"/>
    </row>
    <row r="41" spans="1:8" customFormat="1" ht="15">
      <c r="A41" s="34"/>
      <c r="B41" s="125"/>
      <c r="C41" s="125"/>
      <c r="D41" s="601"/>
      <c r="E41" s="193"/>
      <c r="F41" s="603"/>
      <c r="G41" s="32"/>
      <c r="H41" s="83"/>
    </row>
    <row r="42" spans="1:8" customFormat="1" ht="25.5">
      <c r="A42" s="34">
        <f>MAX(A$1:A41)+1</f>
        <v>8</v>
      </c>
      <c r="B42" s="43"/>
      <c r="C42" s="195">
        <v>92020301</v>
      </c>
      <c r="D42" s="196"/>
      <c r="E42" s="38" t="s">
        <v>476</v>
      </c>
      <c r="F42" s="39"/>
      <c r="G42" s="40" t="s">
        <v>33</v>
      </c>
      <c r="H42" s="64">
        <v>2</v>
      </c>
    </row>
    <row r="43" spans="1:8" customFormat="1" ht="25.5">
      <c r="A43" s="72"/>
      <c r="B43" s="73"/>
      <c r="C43" s="198"/>
      <c r="D43" s="199">
        <v>9202030102</v>
      </c>
      <c r="E43" s="71" t="s">
        <v>490</v>
      </c>
      <c r="F43" s="61"/>
      <c r="G43" s="62" t="s">
        <v>33</v>
      </c>
      <c r="H43" s="83">
        <v>2</v>
      </c>
    </row>
    <row r="44" spans="1:8" customFormat="1" ht="15">
      <c r="A44" s="34"/>
      <c r="B44" s="125"/>
      <c r="C44" s="125"/>
      <c r="D44" s="601"/>
      <c r="E44" s="168" t="s">
        <v>3094</v>
      </c>
      <c r="F44" s="603">
        <v>2</v>
      </c>
      <c r="G44" s="32"/>
      <c r="H44" s="83"/>
    </row>
    <row r="45" spans="1:8" customFormat="1" ht="15">
      <c r="A45" s="34"/>
      <c r="B45" s="125"/>
      <c r="C45" s="125"/>
      <c r="D45" s="601"/>
      <c r="E45" s="193"/>
      <c r="F45" s="603"/>
      <c r="G45" s="32"/>
      <c r="H45" s="83"/>
    </row>
    <row r="46" spans="1:8" customFormat="1" ht="25.5">
      <c r="A46" s="34">
        <f>MAX(A$1:A45)+1</f>
        <v>9</v>
      </c>
      <c r="B46" s="43"/>
      <c r="C46" s="195">
        <v>92020702</v>
      </c>
      <c r="D46" s="196"/>
      <c r="E46" s="38" t="s">
        <v>718</v>
      </c>
      <c r="F46" s="39"/>
      <c r="G46" s="40" t="s">
        <v>33</v>
      </c>
      <c r="H46" s="64">
        <v>2</v>
      </c>
    </row>
    <row r="47" spans="1:8" customFormat="1" ht="25.5">
      <c r="A47" s="72"/>
      <c r="B47" s="73"/>
      <c r="C47" s="198"/>
      <c r="D47" s="199">
        <v>9202070202</v>
      </c>
      <c r="E47" s="71" t="s">
        <v>719</v>
      </c>
      <c r="F47" s="61"/>
      <c r="G47" s="62" t="s">
        <v>33</v>
      </c>
      <c r="H47" s="83">
        <v>2</v>
      </c>
    </row>
    <row r="48" spans="1:8" customFormat="1" ht="15">
      <c r="A48" s="34"/>
      <c r="B48" s="125"/>
      <c r="C48" s="125"/>
      <c r="D48" s="601"/>
      <c r="E48" s="168" t="s">
        <v>1386</v>
      </c>
      <c r="F48" s="603">
        <v>2</v>
      </c>
      <c r="G48" s="32"/>
      <c r="H48" s="83"/>
    </row>
    <row r="49" spans="1:8" customFormat="1" ht="15">
      <c r="A49" s="34"/>
      <c r="B49" s="125"/>
      <c r="C49" s="125"/>
      <c r="D49" s="601"/>
      <c r="E49" s="193"/>
      <c r="F49" s="603"/>
      <c r="G49" s="32"/>
      <c r="H49" s="83"/>
    </row>
    <row r="50" spans="1:8" customFormat="1" ht="25.5">
      <c r="A50" s="34">
        <f>MAX(A$1:A49)+1</f>
        <v>10</v>
      </c>
      <c r="B50" s="43"/>
      <c r="C50" s="195">
        <v>92022705</v>
      </c>
      <c r="D50" s="196"/>
      <c r="E50" s="38" t="s">
        <v>2784</v>
      </c>
      <c r="F50" s="39"/>
      <c r="G50" s="40" t="s">
        <v>33</v>
      </c>
      <c r="H50" s="64">
        <v>3</v>
      </c>
    </row>
    <row r="51" spans="1:8" customFormat="1" ht="25.5">
      <c r="A51" s="72"/>
      <c r="B51" s="73"/>
      <c r="C51" s="198"/>
      <c r="D51" s="198">
        <v>9202270506</v>
      </c>
      <c r="E51" s="71" t="s">
        <v>2785</v>
      </c>
      <c r="F51" s="61"/>
      <c r="G51" s="62" t="s">
        <v>33</v>
      </c>
      <c r="H51" s="83">
        <v>3</v>
      </c>
    </row>
    <row r="52" spans="1:8">
      <c r="A52" s="34"/>
      <c r="B52" s="125"/>
      <c r="C52" s="125"/>
      <c r="D52" s="601"/>
      <c r="E52" s="168" t="s">
        <v>2919</v>
      </c>
      <c r="F52" s="603">
        <v>1</v>
      </c>
      <c r="G52" s="32"/>
      <c r="H52" s="83"/>
    </row>
    <row r="53" spans="1:8">
      <c r="A53" s="34"/>
      <c r="B53" s="125"/>
      <c r="C53" s="125"/>
      <c r="D53" s="601"/>
      <c r="E53" s="168" t="s">
        <v>2866</v>
      </c>
      <c r="F53" s="603">
        <v>1</v>
      </c>
      <c r="G53" s="32"/>
      <c r="H53" s="83"/>
    </row>
    <row r="54" spans="1:8">
      <c r="A54" s="34"/>
      <c r="B54" s="125"/>
      <c r="C54" s="125"/>
      <c r="D54" s="601"/>
      <c r="E54" s="168" t="s">
        <v>2787</v>
      </c>
      <c r="F54" s="705">
        <v>1</v>
      </c>
      <c r="G54" s="32"/>
      <c r="H54" s="83"/>
    </row>
    <row r="55" spans="1:8">
      <c r="A55" s="34"/>
      <c r="B55" s="125"/>
      <c r="C55" s="125"/>
      <c r="D55" s="601"/>
      <c r="E55" s="168" t="s">
        <v>1130</v>
      </c>
      <c r="F55" s="706">
        <f>SUM(F52:F54)</f>
        <v>3</v>
      </c>
      <c r="G55" s="32"/>
      <c r="H55" s="83"/>
    </row>
    <row r="56" spans="1:8">
      <c r="A56" s="34"/>
      <c r="B56" s="125"/>
      <c r="C56" s="125"/>
      <c r="D56" s="601"/>
      <c r="E56" s="193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92022801</v>
      </c>
      <c r="D57" s="196"/>
      <c r="E57" s="38" t="s">
        <v>2867</v>
      </c>
      <c r="F57" s="39"/>
      <c r="G57" s="40" t="s">
        <v>36</v>
      </c>
      <c r="H57" s="64">
        <v>16</v>
      </c>
    </row>
    <row r="58" spans="1:8" ht="25.5">
      <c r="A58" s="72"/>
      <c r="B58" s="73"/>
      <c r="C58" s="198"/>
      <c r="D58" s="199">
        <v>9202280102</v>
      </c>
      <c r="E58" s="71" t="s">
        <v>3095</v>
      </c>
      <c r="F58" s="61"/>
      <c r="G58" s="62" t="s">
        <v>36</v>
      </c>
      <c r="H58" s="83">
        <v>14</v>
      </c>
    </row>
    <row r="59" spans="1:8">
      <c r="A59" s="34"/>
      <c r="B59" s="125"/>
      <c r="C59" s="125"/>
      <c r="D59" s="601"/>
      <c r="E59" s="168" t="s">
        <v>3096</v>
      </c>
      <c r="F59" s="603">
        <v>14</v>
      </c>
      <c r="G59" s="32"/>
      <c r="H59" s="83"/>
    </row>
    <row r="60" spans="1:8">
      <c r="A60" s="34"/>
      <c r="B60" s="125"/>
      <c r="C60" s="125"/>
      <c r="D60" s="601"/>
      <c r="E60" s="168"/>
      <c r="F60" s="603"/>
      <c r="G60" s="32"/>
      <c r="H60" s="83"/>
    </row>
    <row r="61" spans="1:8" ht="25.5">
      <c r="A61" s="72"/>
      <c r="B61" s="73"/>
      <c r="C61" s="198"/>
      <c r="D61" s="199">
        <v>9202280104</v>
      </c>
      <c r="E61" s="71" t="s">
        <v>2868</v>
      </c>
      <c r="F61" s="61"/>
      <c r="G61" s="62" t="s">
        <v>33</v>
      </c>
      <c r="H61" s="83">
        <v>2</v>
      </c>
    </row>
    <row r="62" spans="1:8">
      <c r="A62" s="34"/>
      <c r="B62" s="125"/>
      <c r="C62" s="125"/>
      <c r="D62" s="601"/>
      <c r="E62" s="168" t="s">
        <v>3097</v>
      </c>
      <c r="F62" s="603">
        <v>2</v>
      </c>
      <c r="G62" s="32"/>
      <c r="H62" s="83"/>
    </row>
    <row r="63" spans="1:8">
      <c r="A63" s="34"/>
      <c r="B63" s="125"/>
      <c r="C63" s="125"/>
      <c r="D63" s="601"/>
      <c r="E63" s="168"/>
      <c r="F63" s="603"/>
      <c r="G63" s="32"/>
      <c r="H63" s="83"/>
    </row>
    <row r="64" spans="1:8" ht="25.5">
      <c r="A64" s="34">
        <f>MAX(A$1:A63)+1</f>
        <v>12</v>
      </c>
      <c r="B64" s="43"/>
      <c r="C64" s="195">
        <v>92022902</v>
      </c>
      <c r="D64" s="196"/>
      <c r="E64" s="38" t="s">
        <v>3098</v>
      </c>
      <c r="F64" s="39"/>
      <c r="G64" s="40" t="s">
        <v>36</v>
      </c>
      <c r="H64" s="64">
        <v>16</v>
      </c>
    </row>
    <row r="65" spans="1:8" ht="25.5">
      <c r="A65" s="72"/>
      <c r="B65" s="73"/>
      <c r="C65" s="198"/>
      <c r="D65" s="199">
        <v>9202290202</v>
      </c>
      <c r="E65" s="71" t="s">
        <v>3099</v>
      </c>
      <c r="F65" s="61"/>
      <c r="G65" s="62" t="s">
        <v>36</v>
      </c>
      <c r="H65" s="83">
        <v>16</v>
      </c>
    </row>
    <row r="66" spans="1:8">
      <c r="A66" s="34"/>
      <c r="B66" s="125"/>
      <c r="C66" s="125"/>
      <c r="D66" s="601"/>
      <c r="E66" s="168" t="s">
        <v>3100</v>
      </c>
      <c r="F66" s="603">
        <v>16</v>
      </c>
      <c r="G66" s="32"/>
      <c r="H66" s="83"/>
    </row>
    <row r="67" spans="1:8">
      <c r="A67" s="34"/>
      <c r="B67" s="43"/>
      <c r="C67" s="36"/>
      <c r="D67" s="37"/>
      <c r="E67" s="38"/>
      <c r="F67" s="46"/>
      <c r="G67" s="40"/>
      <c r="H67" s="254"/>
    </row>
    <row r="68" spans="1:8" ht="15">
      <c r="A68" s="72"/>
      <c r="B68" s="73"/>
      <c r="C68" s="66"/>
      <c r="D68" s="67"/>
      <c r="E68" s="84"/>
      <c r="F68" s="90"/>
      <c r="G68" s="62"/>
      <c r="H68" s="99"/>
    </row>
    <row r="69" spans="1:8" ht="13.5" thickBot="1">
      <c r="A69" s="106"/>
      <c r="B69" s="107"/>
      <c r="C69" s="107"/>
      <c r="D69" s="107"/>
      <c r="E69" s="108"/>
      <c r="F69" s="109"/>
      <c r="G69" s="107"/>
      <c r="H69" s="110"/>
    </row>
  </sheetData>
  <sheetProtection algorithmName="SHA-512" hashValue="vEXnHPBSlQZ63106DVsh2TN4J6ORcyl01RjF+hTPw5CAbjxXIgw3emGcCluBRUTbVteUakiVJItpYocJ73QcRg==" saltValue="hJaEqOZNpL8rqAHXN52Wg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E5AAD-8BF1-4AC9-88F5-0BF4624CD7F4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oufViAxHbjvS7qomAp6JM7QONUbngqklVcHB1i8A6rZ3uLckWh9WaAeOhPn6BWHNnehLiPpjVsC+fHAWzd/1Qw==" saltValue="0F1Ys3Od37kmi18YrePIC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8344B-CDF8-4680-95C7-4C264E82B855}">
  <dimension ref="A1:Q17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1455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2211</v>
      </c>
      <c r="G2" s="11"/>
      <c r="H2" s="12"/>
    </row>
    <row r="3" spans="1:12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137.09</v>
      </c>
    </row>
    <row r="9" spans="1:12">
      <c r="A9" s="145"/>
      <c r="B9" s="31"/>
      <c r="C9" s="31"/>
      <c r="D9" s="32"/>
      <c r="E9" s="33"/>
      <c r="F9" s="81">
        <f>F34</f>
        <v>137.09358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106.59</v>
      </c>
    </row>
    <row r="12" spans="1:12">
      <c r="A12" s="145"/>
      <c r="B12" s="31"/>
      <c r="C12" s="31"/>
      <c r="D12" s="32"/>
      <c r="E12" s="33"/>
      <c r="F12" s="81">
        <f>F54</f>
        <v>106.58710000000005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 ht="25.5">
      <c r="A16" s="34">
        <f>MAX(A$1:A13)+1</f>
        <v>3</v>
      </c>
      <c r="B16" s="43"/>
      <c r="C16" s="36" t="s">
        <v>119</v>
      </c>
      <c r="D16" s="37"/>
      <c r="E16" s="38" t="s">
        <v>120</v>
      </c>
      <c r="F16" s="39"/>
      <c r="G16" s="40" t="s">
        <v>21</v>
      </c>
      <c r="H16" s="128">
        <v>258.18</v>
      </c>
    </row>
    <row r="17" spans="1:8" ht="25.5">
      <c r="A17" s="72"/>
      <c r="B17" s="73"/>
      <c r="C17" s="66"/>
      <c r="D17" s="67" t="s">
        <v>121</v>
      </c>
      <c r="E17" s="71" t="s">
        <v>122</v>
      </c>
      <c r="F17" s="61"/>
      <c r="G17" s="62" t="s">
        <v>21</v>
      </c>
      <c r="H17" s="124">
        <v>258.18</v>
      </c>
    </row>
    <row r="18" spans="1:8" ht="25.5">
      <c r="A18" s="145"/>
      <c r="B18" s="31"/>
      <c r="C18" s="31"/>
      <c r="D18" s="32"/>
      <c r="E18" s="77" t="s">
        <v>1456</v>
      </c>
      <c r="F18" s="81">
        <f>172.12*1.5</f>
        <v>258.18</v>
      </c>
      <c r="G18" s="29"/>
      <c r="H18" s="30"/>
    </row>
    <row r="19" spans="1:8">
      <c r="A19" s="145"/>
      <c r="B19" s="31"/>
      <c r="C19" s="31"/>
      <c r="D19" s="32"/>
      <c r="E19" s="33"/>
      <c r="F19" s="81"/>
      <c r="G19" s="29"/>
      <c r="H19" s="30"/>
    </row>
    <row r="20" spans="1:8" ht="25.5">
      <c r="A20" s="34">
        <f>MAX(A$1:A17)+1</f>
        <v>4</v>
      </c>
      <c r="B20" s="43"/>
      <c r="C20" s="36" t="s">
        <v>28</v>
      </c>
      <c r="D20" s="37"/>
      <c r="E20" s="38" t="s">
        <v>29</v>
      </c>
      <c r="F20" s="39"/>
      <c r="G20" s="40" t="s">
        <v>21</v>
      </c>
      <c r="H20" s="128">
        <v>258.18</v>
      </c>
    </row>
    <row r="21" spans="1:8" ht="25.5">
      <c r="A21" s="72"/>
      <c r="B21" s="73"/>
      <c r="C21" s="66"/>
      <c r="D21" s="67" t="s">
        <v>30</v>
      </c>
      <c r="E21" s="71" t="s">
        <v>31</v>
      </c>
      <c r="F21" s="61"/>
      <c r="G21" s="62" t="s">
        <v>21</v>
      </c>
      <c r="H21" s="124">
        <v>258.18</v>
      </c>
    </row>
    <row r="22" spans="1:8" ht="25.5">
      <c r="A22" s="145"/>
      <c r="B22" s="31"/>
      <c r="C22" s="31"/>
      <c r="D22" s="32"/>
      <c r="E22" s="77" t="s">
        <v>1457</v>
      </c>
      <c r="F22" s="81">
        <f>172.12*1.5</f>
        <v>258.18</v>
      </c>
      <c r="G22" s="29"/>
      <c r="H22" s="30"/>
    </row>
    <row r="23" spans="1:8">
      <c r="A23" s="145"/>
      <c r="B23" s="31"/>
      <c r="C23" s="31"/>
      <c r="D23" s="32"/>
      <c r="E23" s="33"/>
      <c r="F23" s="81"/>
      <c r="G23" s="29"/>
      <c r="H23" s="30"/>
    </row>
    <row r="24" spans="1:8" ht="29.25" customHeight="1">
      <c r="A24" s="34">
        <f>MAX(A$1:A21)+1</f>
        <v>5</v>
      </c>
      <c r="B24" s="43"/>
      <c r="C24" s="36" t="s">
        <v>133</v>
      </c>
      <c r="D24" s="37"/>
      <c r="E24" s="38" t="s">
        <v>134</v>
      </c>
      <c r="F24" s="39"/>
      <c r="G24" s="40" t="s">
        <v>21</v>
      </c>
      <c r="H24" s="128">
        <v>258.18</v>
      </c>
    </row>
    <row r="25" spans="1:8" ht="38.25">
      <c r="A25" s="72"/>
      <c r="B25" s="73"/>
      <c r="C25" s="66"/>
      <c r="D25" s="67" t="s">
        <v>468</v>
      </c>
      <c r="E25" s="71" t="s">
        <v>469</v>
      </c>
      <c r="F25" s="61"/>
      <c r="G25" s="62" t="s">
        <v>21</v>
      </c>
      <c r="H25" s="124">
        <v>258.18</v>
      </c>
    </row>
    <row r="26" spans="1:8" ht="25.5">
      <c r="A26" s="145"/>
      <c r="B26" s="31"/>
      <c r="C26" s="31"/>
      <c r="D26" s="32"/>
      <c r="E26" s="77" t="s">
        <v>1458</v>
      </c>
      <c r="F26" s="81">
        <f>172.12*1.5</f>
        <v>258.18</v>
      </c>
      <c r="G26" s="29"/>
      <c r="H26" s="30"/>
    </row>
    <row r="27" spans="1:8">
      <c r="A27" s="145"/>
      <c r="B27" s="31"/>
      <c r="C27" s="31"/>
      <c r="D27" s="32"/>
      <c r="E27" s="33"/>
      <c r="F27" s="81"/>
      <c r="G27" s="29"/>
      <c r="H27" s="30"/>
    </row>
    <row r="28" spans="1:8">
      <c r="A28" s="34">
        <f>MAX(A$1:A25)+1</f>
        <v>6</v>
      </c>
      <c r="B28" s="31"/>
      <c r="C28" s="36" t="s">
        <v>37</v>
      </c>
      <c r="D28" s="37"/>
      <c r="E28" s="38" t="s">
        <v>38</v>
      </c>
      <c r="F28" s="39"/>
      <c r="G28" s="40" t="s">
        <v>15</v>
      </c>
      <c r="H28" s="128">
        <v>137.09</v>
      </c>
    </row>
    <row r="29" spans="1:8">
      <c r="A29" s="145"/>
      <c r="B29" s="31"/>
      <c r="C29" s="66"/>
      <c r="D29" s="67" t="s">
        <v>39</v>
      </c>
      <c r="E29" s="71" t="s">
        <v>40</v>
      </c>
      <c r="F29" s="61"/>
      <c r="G29" s="62" t="s">
        <v>15</v>
      </c>
      <c r="H29" s="124">
        <v>137.09</v>
      </c>
    </row>
    <row r="30" spans="1:8">
      <c r="A30" s="145"/>
      <c r="B30" s="31"/>
      <c r="C30" s="31"/>
      <c r="D30" s="32"/>
      <c r="E30" s="121" t="s">
        <v>71</v>
      </c>
      <c r="F30" s="81"/>
      <c r="G30" s="29"/>
      <c r="H30" s="30"/>
    </row>
    <row r="31" spans="1:8" ht="25.5">
      <c r="A31" s="145"/>
      <c r="B31" s="31"/>
      <c r="C31" s="31"/>
      <c r="D31" s="32"/>
      <c r="E31" s="77" t="s">
        <v>1459</v>
      </c>
      <c r="F31" s="81">
        <f>F18*0.181</f>
        <v>46.730579999999996</v>
      </c>
      <c r="G31" s="29"/>
      <c r="H31" s="30"/>
    </row>
    <row r="32" spans="1:8" ht="25.5">
      <c r="A32" s="145"/>
      <c r="B32" s="31"/>
      <c r="C32" s="31"/>
      <c r="D32" s="32"/>
      <c r="E32" s="77" t="s">
        <v>1460</v>
      </c>
      <c r="F32" s="81">
        <f>F22*0.22</f>
        <v>56.799600000000005</v>
      </c>
      <c r="G32" s="29"/>
      <c r="H32" s="30"/>
    </row>
    <row r="33" spans="1:17" ht="25.5">
      <c r="A33" s="145"/>
      <c r="B33" s="31"/>
      <c r="C33" s="31"/>
      <c r="D33" s="32"/>
      <c r="E33" s="77" t="s">
        <v>1461</v>
      </c>
      <c r="F33" s="133">
        <f>F26*0.13</f>
        <v>33.563400000000001</v>
      </c>
      <c r="G33" s="29"/>
      <c r="H33" s="30"/>
    </row>
    <row r="34" spans="1:17">
      <c r="A34" s="145"/>
      <c r="B34" s="31"/>
      <c r="C34" s="31"/>
      <c r="D34" s="32"/>
      <c r="E34" s="77"/>
      <c r="F34" s="81">
        <f>SUM(F31:F33)</f>
        <v>137.09358</v>
      </c>
      <c r="G34" s="29"/>
      <c r="H34" s="30"/>
    </row>
    <row r="35" spans="1:17">
      <c r="A35" s="145"/>
      <c r="B35" s="31"/>
      <c r="C35" s="31"/>
      <c r="D35" s="32"/>
      <c r="E35" s="77"/>
      <c r="F35" s="81"/>
      <c r="G35" s="29"/>
      <c r="H35" s="30"/>
    </row>
    <row r="36" spans="1:17" s="98" customFormat="1">
      <c r="A36" s="95"/>
      <c r="B36" s="35" t="s">
        <v>72</v>
      </c>
      <c r="C36" s="93"/>
      <c r="D36" s="94"/>
      <c r="E36" s="50" t="s">
        <v>73</v>
      </c>
      <c r="F36" s="100"/>
      <c r="G36" s="101"/>
      <c r="H36" s="42"/>
      <c r="I36"/>
      <c r="J36"/>
      <c r="K36"/>
      <c r="L36"/>
      <c r="Q36"/>
    </row>
    <row r="37" spans="1:17">
      <c r="A37" s="34"/>
      <c r="B37" s="31"/>
      <c r="C37" s="31"/>
      <c r="D37" s="32"/>
      <c r="E37" s="33"/>
      <c r="F37" s="81"/>
      <c r="G37" s="29"/>
      <c r="H37" s="30"/>
    </row>
    <row r="38" spans="1:17">
      <c r="A38" s="34">
        <f>MAX(A$1:A37)+1</f>
        <v>7</v>
      </c>
      <c r="B38" s="43"/>
      <c r="C38" s="36" t="s">
        <v>154</v>
      </c>
      <c r="D38" s="37"/>
      <c r="E38" s="38" t="s">
        <v>155</v>
      </c>
      <c r="F38" s="39"/>
      <c r="G38" s="40" t="s">
        <v>18</v>
      </c>
      <c r="H38" s="64">
        <v>62</v>
      </c>
    </row>
    <row r="39" spans="1:17">
      <c r="A39" s="72"/>
      <c r="B39" s="73"/>
      <c r="C39" s="66"/>
      <c r="D39" s="67" t="s">
        <v>156</v>
      </c>
      <c r="E39" s="71" t="s">
        <v>157</v>
      </c>
      <c r="F39" s="61"/>
      <c r="G39" s="62" t="s">
        <v>18</v>
      </c>
      <c r="H39" s="83">
        <v>62</v>
      </c>
    </row>
    <row r="40" spans="1:17">
      <c r="A40" s="34"/>
      <c r="B40" s="31"/>
      <c r="C40" s="31"/>
      <c r="D40" s="32"/>
      <c r="E40" s="154" t="s">
        <v>1462</v>
      </c>
      <c r="F40" s="81">
        <f>3*2*1.9*2</f>
        <v>22.799999999999997</v>
      </c>
      <c r="G40" s="29"/>
      <c r="H40" s="30"/>
    </row>
    <row r="41" spans="1:17" ht="25.5">
      <c r="A41" s="34"/>
      <c r="B41" s="31"/>
      <c r="C41" s="31"/>
      <c r="D41" s="32"/>
      <c r="E41" s="155" t="s">
        <v>1463</v>
      </c>
      <c r="F41" s="81">
        <f>1.5*1.5*1.6</f>
        <v>3.6</v>
      </c>
      <c r="G41" s="29"/>
      <c r="H41" s="30"/>
    </row>
    <row r="42" spans="1:17">
      <c r="A42" s="34"/>
      <c r="B42" s="31"/>
      <c r="C42" s="31"/>
      <c r="D42" s="32"/>
      <c r="E42" s="155" t="s">
        <v>1464</v>
      </c>
      <c r="F42" s="156">
        <f>1.5*1.5*1.6</f>
        <v>3.6</v>
      </c>
      <c r="G42" s="29"/>
      <c r="H42" s="30"/>
    </row>
    <row r="43" spans="1:17" ht="25.5">
      <c r="A43" s="34"/>
      <c r="B43" s="31"/>
      <c r="C43" s="31"/>
      <c r="D43" s="32"/>
      <c r="E43" s="157" t="s">
        <v>1465</v>
      </c>
      <c r="F43" s="133">
        <f>4*2*2*2</f>
        <v>32</v>
      </c>
      <c r="G43" s="29"/>
      <c r="H43" s="30"/>
    </row>
    <row r="44" spans="1:17">
      <c r="A44" s="34"/>
      <c r="B44" s="31"/>
      <c r="C44" s="31"/>
      <c r="D44" s="32"/>
      <c r="E44" s="157"/>
      <c r="F44" s="81">
        <f>SUM(F40:F43)</f>
        <v>62</v>
      </c>
      <c r="G44" s="29"/>
      <c r="H44" s="30"/>
    </row>
    <row r="45" spans="1:17">
      <c r="A45" s="34"/>
      <c r="B45" s="31"/>
      <c r="C45" s="31"/>
      <c r="D45" s="32"/>
      <c r="E45" s="157"/>
      <c r="F45" s="81"/>
      <c r="G45" s="29"/>
      <c r="H45" s="30"/>
    </row>
    <row r="46" spans="1:17">
      <c r="A46" s="34">
        <f>MAX(A$1:A45)+1</f>
        <v>8</v>
      </c>
      <c r="B46" s="43"/>
      <c r="C46" s="36" t="s">
        <v>162</v>
      </c>
      <c r="D46" s="37"/>
      <c r="E46" s="38" t="s">
        <v>163</v>
      </c>
      <c r="F46" s="39"/>
      <c r="G46" s="40" t="s">
        <v>18</v>
      </c>
      <c r="H46" s="64">
        <v>175.65</v>
      </c>
      <c r="I46" s="710"/>
    </row>
    <row r="47" spans="1:17">
      <c r="A47" s="72"/>
      <c r="B47" s="73"/>
      <c r="C47" s="66"/>
      <c r="D47" s="67" t="s">
        <v>164</v>
      </c>
      <c r="E47" s="71" t="s">
        <v>165</v>
      </c>
      <c r="F47" s="61"/>
      <c r="G47" s="62" t="s">
        <v>18</v>
      </c>
      <c r="H47" s="83">
        <v>175.65</v>
      </c>
      <c r="J47" s="208"/>
    </row>
    <row r="48" spans="1:17" ht="25.5">
      <c r="A48" s="34"/>
      <c r="B48" s="31"/>
      <c r="C48" s="31"/>
      <c r="D48" s="32"/>
      <c r="E48" s="158" t="s">
        <v>1466</v>
      </c>
      <c r="F48" s="159">
        <f>1.16*1*1.3+1.5*1*1.35</f>
        <v>3.5330000000000004</v>
      </c>
      <c r="G48" s="29"/>
      <c r="H48" s="30"/>
    </row>
    <row r="49" spans="1:8" ht="25.5">
      <c r="A49" s="34"/>
      <c r="B49" s="31"/>
      <c r="C49" s="31"/>
      <c r="D49" s="32"/>
      <c r="E49" s="158" t="s">
        <v>1467</v>
      </c>
      <c r="F49" s="711">
        <f>172.12*1*1</f>
        <v>172.12</v>
      </c>
      <c r="G49" s="29"/>
      <c r="H49" s="30"/>
    </row>
    <row r="50" spans="1:8">
      <c r="A50" s="34"/>
      <c r="B50" s="31"/>
      <c r="C50" s="31"/>
      <c r="D50" s="32"/>
      <c r="E50" s="150"/>
      <c r="F50" s="160">
        <f>SUM(F48:F49)</f>
        <v>175.65299999999999</v>
      </c>
      <c r="G50" s="29"/>
      <c r="H50" s="30"/>
    </row>
    <row r="51" spans="1:8">
      <c r="A51" s="34"/>
      <c r="B51" s="31"/>
      <c r="C51" s="31"/>
      <c r="D51" s="32"/>
      <c r="E51" s="492"/>
      <c r="F51" s="148"/>
      <c r="G51" s="29"/>
      <c r="H51" s="30"/>
    </row>
    <row r="52" spans="1:8">
      <c r="A52" s="34">
        <f>MAX(A$1:A51)+1</f>
        <v>9</v>
      </c>
      <c r="B52" s="43"/>
      <c r="C52" s="36" t="s">
        <v>58</v>
      </c>
      <c r="D52" s="37"/>
      <c r="E52" s="38" t="s">
        <v>59</v>
      </c>
      <c r="F52" s="39"/>
      <c r="G52" s="40" t="s">
        <v>18</v>
      </c>
      <c r="H52" s="64">
        <v>106.59</v>
      </c>
    </row>
    <row r="53" spans="1:8">
      <c r="A53" s="72"/>
      <c r="B53" s="73"/>
      <c r="C53" s="66"/>
      <c r="D53" s="67" t="s">
        <v>60</v>
      </c>
      <c r="E53" s="71" t="s">
        <v>61</v>
      </c>
      <c r="F53" s="61"/>
      <c r="G53" s="62" t="s">
        <v>18</v>
      </c>
      <c r="H53" s="83">
        <v>106.59</v>
      </c>
    </row>
    <row r="54" spans="1:8">
      <c r="A54" s="34"/>
      <c r="B54" s="31"/>
      <c r="C54" s="31"/>
      <c r="D54" s="32"/>
      <c r="E54" s="77" t="s">
        <v>1212</v>
      </c>
      <c r="F54" s="148">
        <f>F96</f>
        <v>106.58710000000005</v>
      </c>
      <c r="G54" s="29"/>
      <c r="H54" s="30"/>
    </row>
    <row r="55" spans="1:8">
      <c r="A55" s="34"/>
      <c r="B55" s="31"/>
      <c r="C55" s="31"/>
      <c r="D55" s="32"/>
      <c r="E55" s="77"/>
      <c r="F55" s="148"/>
      <c r="G55" s="29"/>
      <c r="H55" s="30"/>
    </row>
    <row r="56" spans="1:8">
      <c r="A56" s="34">
        <f>MAX(A$1:A55)+1</f>
        <v>10</v>
      </c>
      <c r="B56" s="31"/>
      <c r="C56" s="36" t="s">
        <v>493</v>
      </c>
      <c r="D56" s="37"/>
      <c r="E56" s="38" t="s">
        <v>494</v>
      </c>
      <c r="F56" s="39"/>
      <c r="G56" s="40" t="s">
        <v>18</v>
      </c>
      <c r="H56" s="128">
        <v>1.1000000000000001</v>
      </c>
    </row>
    <row r="57" spans="1:8">
      <c r="A57" s="34"/>
      <c r="B57" s="31"/>
      <c r="C57" s="66"/>
      <c r="D57" s="67" t="s">
        <v>696</v>
      </c>
      <c r="E57" s="71" t="s">
        <v>697</v>
      </c>
      <c r="F57" s="61"/>
      <c r="G57" s="62" t="s">
        <v>18</v>
      </c>
      <c r="H57" s="124">
        <v>1.1000000000000001</v>
      </c>
    </row>
    <row r="58" spans="1:8" ht="25.5">
      <c r="A58" s="34"/>
      <c r="B58" s="31"/>
      <c r="C58" s="66"/>
      <c r="D58" s="67"/>
      <c r="E58" s="65" t="s">
        <v>1468</v>
      </c>
      <c r="F58" s="46">
        <f>3.14*0.045*0.045*173.5</f>
        <v>1.1031997500000001</v>
      </c>
      <c r="G58" s="62"/>
      <c r="H58" s="30"/>
    </row>
    <row r="59" spans="1:8">
      <c r="A59" s="34"/>
      <c r="B59" s="31"/>
      <c r="C59" s="66"/>
      <c r="D59" s="67"/>
      <c r="E59" s="71"/>
      <c r="F59" s="61"/>
      <c r="G59" s="62"/>
      <c r="H59" s="30"/>
    </row>
    <row r="60" spans="1:8">
      <c r="A60" s="34">
        <f>MAX(A$1:A57)+1</f>
        <v>11</v>
      </c>
      <c r="B60" s="43"/>
      <c r="C60" s="36" t="s">
        <v>78</v>
      </c>
      <c r="D60" s="37"/>
      <c r="E60" s="38" t="s">
        <v>79</v>
      </c>
      <c r="F60" s="39"/>
      <c r="G60" s="40" t="s">
        <v>18</v>
      </c>
      <c r="H60" s="64">
        <v>131.07</v>
      </c>
    </row>
    <row r="61" spans="1:8">
      <c r="A61" s="72"/>
      <c r="B61" s="73"/>
      <c r="C61" s="66"/>
      <c r="D61" s="67" t="s">
        <v>80</v>
      </c>
      <c r="E61" s="71" t="s">
        <v>81</v>
      </c>
      <c r="F61" s="61"/>
      <c r="G61" s="62" t="s">
        <v>18</v>
      </c>
      <c r="H61" s="83">
        <v>131.07</v>
      </c>
    </row>
    <row r="62" spans="1:8">
      <c r="A62" s="34"/>
      <c r="B62" s="31"/>
      <c r="C62" s="31"/>
      <c r="D62" s="32"/>
      <c r="E62" s="712" t="s">
        <v>1469</v>
      </c>
      <c r="F62" s="163"/>
      <c r="G62" s="29"/>
      <c r="H62" s="30"/>
    </row>
    <row r="63" spans="1:8">
      <c r="A63" s="34"/>
      <c r="B63" s="31"/>
      <c r="C63" s="31"/>
      <c r="D63" s="32"/>
      <c r="E63" s="161" t="s">
        <v>66</v>
      </c>
      <c r="F63" s="163">
        <f>F50</f>
        <v>175.65299999999999</v>
      </c>
      <c r="G63" s="29"/>
      <c r="H63" s="30"/>
    </row>
    <row r="64" spans="1:8">
      <c r="A64" s="34"/>
      <c r="B64" s="31"/>
      <c r="C64" s="31"/>
      <c r="D64" s="32"/>
      <c r="E64" s="161" t="s">
        <v>169</v>
      </c>
      <c r="F64" s="163">
        <f>-F148</f>
        <v>-26.217000000000002</v>
      </c>
      <c r="G64" s="29"/>
      <c r="H64" s="30"/>
    </row>
    <row r="65" spans="1:8">
      <c r="A65" s="34"/>
      <c r="B65" s="31"/>
      <c r="C65" s="31"/>
      <c r="D65" s="32"/>
      <c r="E65" s="161" t="s">
        <v>520</v>
      </c>
      <c r="F65" s="163">
        <f>-F85</f>
        <v>-67.052861370000002</v>
      </c>
      <c r="G65" s="29"/>
      <c r="H65" s="30"/>
    </row>
    <row r="66" spans="1:8">
      <c r="A66" s="34"/>
      <c r="B66" s="31"/>
      <c r="C66" s="31"/>
      <c r="D66" s="32"/>
      <c r="E66" s="164" t="s">
        <v>1470</v>
      </c>
      <c r="F66" s="163">
        <f>-3.14*0.09*0.09/4*174.78</f>
        <v>-1.1113386300000001</v>
      </c>
      <c r="G66" s="29"/>
      <c r="H66" s="30"/>
    </row>
    <row r="67" spans="1:8">
      <c r="A67" s="34"/>
      <c r="B67" s="31"/>
      <c r="C67" s="31"/>
      <c r="D67" s="32"/>
      <c r="E67" s="164" t="s">
        <v>1471</v>
      </c>
      <c r="F67" s="162">
        <f>-172.12*1*0.07</f>
        <v>-12.048400000000001</v>
      </c>
      <c r="G67" s="29"/>
      <c r="H67" s="30"/>
    </row>
    <row r="68" spans="1:8">
      <c r="A68" s="34"/>
      <c r="B68" s="31"/>
      <c r="C68" s="31"/>
      <c r="D68" s="32"/>
      <c r="E68" s="161"/>
      <c r="F68" s="163">
        <f>SUM(F63:F67)</f>
        <v>69.22339999999997</v>
      </c>
      <c r="G68" s="29"/>
      <c r="H68" s="30"/>
    </row>
    <row r="69" spans="1:8">
      <c r="A69" s="34"/>
      <c r="B69" s="31"/>
      <c r="C69" s="31"/>
      <c r="D69" s="32"/>
      <c r="E69" s="161"/>
      <c r="F69" s="163"/>
      <c r="G69" s="29"/>
      <c r="H69" s="30"/>
    </row>
    <row r="70" spans="1:8" ht="25.5">
      <c r="A70" s="34"/>
      <c r="B70" s="31"/>
      <c r="C70" s="31"/>
      <c r="D70" s="32"/>
      <c r="E70" s="154" t="s">
        <v>1472</v>
      </c>
      <c r="F70" s="163">
        <f>3*2*1.9*2</f>
        <v>22.799999999999997</v>
      </c>
      <c r="G70" s="29"/>
      <c r="H70" s="30"/>
    </row>
    <row r="71" spans="1:8">
      <c r="A71" s="34"/>
      <c r="B71" s="31"/>
      <c r="C71" s="31"/>
      <c r="D71" s="32"/>
      <c r="E71" s="161"/>
      <c r="F71" s="163"/>
      <c r="G71" s="29"/>
      <c r="H71" s="30"/>
    </row>
    <row r="72" spans="1:8" ht="25.5">
      <c r="A72" s="34"/>
      <c r="B72" s="31"/>
      <c r="C72" s="31"/>
      <c r="D72" s="32"/>
      <c r="E72" s="713" t="s">
        <v>1473</v>
      </c>
      <c r="F72" s="163"/>
      <c r="G72" s="29"/>
      <c r="H72" s="30"/>
    </row>
    <row r="73" spans="1:8">
      <c r="A73" s="34"/>
      <c r="B73" s="31"/>
      <c r="C73" s="31"/>
      <c r="D73" s="32"/>
      <c r="E73" s="155" t="s">
        <v>66</v>
      </c>
      <c r="F73" s="163">
        <f>1.5*1.5*1.6</f>
        <v>3.6</v>
      </c>
      <c r="G73" s="29"/>
      <c r="H73" s="30"/>
    </row>
    <row r="74" spans="1:8">
      <c r="A74" s="34"/>
      <c r="B74" s="31"/>
      <c r="C74" s="31"/>
      <c r="D74" s="32"/>
      <c r="E74" s="164" t="s">
        <v>1474</v>
      </c>
      <c r="F74" s="162">
        <f>-1.5*1.5*0.07</f>
        <v>-0.15750000000000003</v>
      </c>
      <c r="G74" s="29"/>
      <c r="H74" s="30"/>
    </row>
    <row r="75" spans="1:8">
      <c r="A75" s="34"/>
      <c r="B75" s="31"/>
      <c r="C75" s="31"/>
      <c r="D75" s="32"/>
      <c r="E75" s="164"/>
      <c r="F75" s="163">
        <f>SUM(F73:F74)</f>
        <v>3.4424999999999999</v>
      </c>
      <c r="G75" s="29"/>
      <c r="H75" s="30"/>
    </row>
    <row r="76" spans="1:8">
      <c r="A76" s="34"/>
      <c r="B76" s="31"/>
      <c r="C76" s="31"/>
      <c r="D76" s="32"/>
      <c r="E76" s="161"/>
      <c r="F76" s="163"/>
      <c r="G76" s="29"/>
      <c r="H76" s="30"/>
    </row>
    <row r="77" spans="1:8" ht="25.5">
      <c r="A77" s="34"/>
      <c r="B77" s="31"/>
      <c r="C77" s="31"/>
      <c r="D77" s="32"/>
      <c r="E77" s="155" t="s">
        <v>1475</v>
      </c>
      <c r="F77" s="163">
        <f>1.5*1.5*1.6</f>
        <v>3.6</v>
      </c>
      <c r="G77" s="29"/>
      <c r="H77" s="30"/>
    </row>
    <row r="78" spans="1:8">
      <c r="A78" s="34"/>
      <c r="B78" s="31"/>
      <c r="C78" s="31"/>
      <c r="D78" s="32"/>
      <c r="E78" s="165"/>
      <c r="F78" s="163"/>
      <c r="G78" s="29"/>
      <c r="H78" s="30"/>
    </row>
    <row r="79" spans="1:8" ht="25.5">
      <c r="A79" s="34"/>
      <c r="B79" s="31"/>
      <c r="C79" s="31"/>
      <c r="D79" s="32"/>
      <c r="E79" s="157" t="s">
        <v>1476</v>
      </c>
      <c r="F79" s="160">
        <f>4*2*2*2</f>
        <v>32</v>
      </c>
      <c r="G79" s="29"/>
      <c r="H79" s="30"/>
    </row>
    <row r="80" spans="1:8">
      <c r="A80" s="34"/>
      <c r="B80" s="43"/>
      <c r="C80" s="36"/>
      <c r="D80" s="37"/>
      <c r="E80" s="91" t="s">
        <v>41</v>
      </c>
      <c r="F80" s="92">
        <f>F68+F70+F75+F77+F79</f>
        <v>131.06589999999994</v>
      </c>
      <c r="G80" s="40"/>
      <c r="H80" s="64"/>
    </row>
    <row r="81" spans="1:17">
      <c r="A81" s="34"/>
      <c r="B81" s="43"/>
      <c r="C81" s="36"/>
      <c r="D81" s="37"/>
      <c r="E81" s="38"/>
      <c r="F81" s="39"/>
      <c r="G81" s="40"/>
      <c r="H81" s="64"/>
    </row>
    <row r="82" spans="1:17">
      <c r="A82" s="34">
        <f>MAX(A$1:A80)+1</f>
        <v>12</v>
      </c>
      <c r="B82" s="43"/>
      <c r="C82" s="36" t="s">
        <v>170</v>
      </c>
      <c r="D82" s="37"/>
      <c r="E82" s="38" t="s">
        <v>171</v>
      </c>
      <c r="F82" s="39"/>
      <c r="G82" s="40" t="s">
        <v>18</v>
      </c>
      <c r="H82" s="166">
        <v>67.05</v>
      </c>
    </row>
    <row r="83" spans="1:17" ht="25.5">
      <c r="A83" s="34"/>
      <c r="B83" s="31"/>
      <c r="C83" s="31"/>
      <c r="D83" s="32" t="s">
        <v>172</v>
      </c>
      <c r="E83" s="167" t="s">
        <v>173</v>
      </c>
      <c r="F83" s="81"/>
      <c r="G83" s="29" t="s">
        <v>18</v>
      </c>
      <c r="H83" s="124">
        <v>67.05</v>
      </c>
    </row>
    <row r="84" spans="1:17">
      <c r="A84" s="34"/>
      <c r="B84" s="31"/>
      <c r="C84" s="31"/>
      <c r="D84" s="32"/>
      <c r="E84" s="712" t="s">
        <v>174</v>
      </c>
      <c r="F84" s="149"/>
      <c r="G84" s="29"/>
      <c r="H84" s="30"/>
    </row>
    <row r="85" spans="1:17">
      <c r="A85" s="34"/>
      <c r="B85" s="31"/>
      <c r="C85" s="31"/>
      <c r="D85" s="32"/>
      <c r="E85" s="164" t="s">
        <v>1477</v>
      </c>
      <c r="F85" s="149">
        <f>174.78*1*0.39-3.14*0.09*0.09/4*174.78</f>
        <v>67.052861370000002</v>
      </c>
      <c r="G85" s="29"/>
      <c r="H85" s="30"/>
    </row>
    <row r="86" spans="1:17">
      <c r="A86" s="34"/>
      <c r="B86" s="31"/>
      <c r="C86" s="31"/>
      <c r="D86" s="32"/>
      <c r="E86" s="164"/>
      <c r="F86" s="163"/>
      <c r="G86" s="29"/>
      <c r="H86" s="30"/>
    </row>
    <row r="87" spans="1:17">
      <c r="A87" s="34">
        <f>MAX(A$1:A86)+1</f>
        <v>13</v>
      </c>
      <c r="B87" s="43"/>
      <c r="C87" s="36" t="s">
        <v>175</v>
      </c>
      <c r="D87" s="37"/>
      <c r="E87" s="38" t="s">
        <v>176</v>
      </c>
      <c r="F87" s="39"/>
      <c r="G87" s="40" t="s">
        <v>18</v>
      </c>
      <c r="H87" s="64">
        <v>262.13</v>
      </c>
    </row>
    <row r="88" spans="1:17" ht="25.5">
      <c r="A88" s="72"/>
      <c r="B88" s="73"/>
      <c r="C88" s="66"/>
      <c r="D88" s="67" t="s">
        <v>177</v>
      </c>
      <c r="E88" s="71" t="s">
        <v>178</v>
      </c>
      <c r="F88" s="61"/>
      <c r="G88" s="62" t="s">
        <v>18</v>
      </c>
      <c r="H88" s="83">
        <v>262.13</v>
      </c>
    </row>
    <row r="89" spans="1:17">
      <c r="A89" s="34"/>
      <c r="B89" s="31"/>
      <c r="C89" s="31"/>
      <c r="D89" s="32"/>
      <c r="E89" s="77" t="s">
        <v>179</v>
      </c>
      <c r="F89" s="81">
        <f>F80*2</f>
        <v>262.13179999999988</v>
      </c>
      <c r="G89" s="29"/>
      <c r="H89" s="30"/>
    </row>
    <row r="90" spans="1:17">
      <c r="A90" s="34"/>
      <c r="B90" s="31"/>
      <c r="C90" s="31"/>
      <c r="D90" s="32"/>
      <c r="E90" s="77"/>
      <c r="F90" s="81"/>
      <c r="G90" s="29"/>
      <c r="H90" s="30"/>
    </row>
    <row r="91" spans="1:17">
      <c r="A91" s="34">
        <f>MAX(A$1:A90)+1</f>
        <v>14</v>
      </c>
      <c r="B91" s="43"/>
      <c r="C91" s="36" t="s">
        <v>50</v>
      </c>
      <c r="D91" s="37"/>
      <c r="E91" s="38" t="s">
        <v>51</v>
      </c>
      <c r="F91" s="39"/>
      <c r="G91" s="40" t="s">
        <v>18</v>
      </c>
      <c r="H91" s="64">
        <v>106.59</v>
      </c>
    </row>
    <row r="92" spans="1:17" ht="25.5">
      <c r="A92" s="72"/>
      <c r="B92" s="73"/>
      <c r="C92" s="66"/>
      <c r="D92" s="67" t="s">
        <v>138</v>
      </c>
      <c r="E92" s="71" t="s">
        <v>139</v>
      </c>
      <c r="F92" s="61"/>
      <c r="G92" s="62" t="s">
        <v>18</v>
      </c>
      <c r="H92" s="83">
        <v>106.59</v>
      </c>
    </row>
    <row r="93" spans="1:17" s="98" customFormat="1">
      <c r="A93" s="95"/>
      <c r="B93" s="35"/>
      <c r="C93" s="93"/>
      <c r="D93" s="94"/>
      <c r="E93" s="121" t="s">
        <v>1216</v>
      </c>
      <c r="F93" s="81"/>
      <c r="G93" s="101"/>
      <c r="H93" s="42"/>
      <c r="I93"/>
      <c r="J93"/>
      <c r="K93"/>
      <c r="L93"/>
      <c r="Q93"/>
    </row>
    <row r="94" spans="1:17">
      <c r="A94" s="34"/>
      <c r="B94" s="31"/>
      <c r="C94" s="31"/>
      <c r="D94" s="32"/>
      <c r="E94" s="77" t="s">
        <v>66</v>
      </c>
      <c r="F94" s="81">
        <f>F44+F50</f>
        <v>237.65299999999999</v>
      </c>
      <c r="G94" s="29"/>
      <c r="H94" s="30"/>
    </row>
    <row r="95" spans="1:17">
      <c r="A95" s="34"/>
      <c r="B95" s="73"/>
      <c r="C95" s="36"/>
      <c r="D95" s="66"/>
      <c r="E95" s="77" t="s">
        <v>181</v>
      </c>
      <c r="F95" s="133">
        <f>-F80</f>
        <v>-131.06589999999994</v>
      </c>
      <c r="G95" s="40"/>
      <c r="H95" s="64"/>
    </row>
    <row r="96" spans="1:17">
      <c r="A96" s="72"/>
      <c r="B96" s="73"/>
      <c r="C96" s="37"/>
      <c r="D96" s="67"/>
      <c r="E96" s="77"/>
      <c r="F96" s="81">
        <f>SUM(F94:F95)</f>
        <v>106.58710000000005</v>
      </c>
      <c r="G96" s="62"/>
      <c r="H96" s="83"/>
    </row>
    <row r="97" spans="1:8">
      <c r="A97" s="34"/>
      <c r="B97" s="31"/>
      <c r="C97" s="31"/>
      <c r="D97" s="32"/>
      <c r="E97" s="121"/>
      <c r="F97" s="28"/>
      <c r="G97" s="29"/>
      <c r="H97" s="30"/>
    </row>
    <row r="98" spans="1:8">
      <c r="A98" s="34">
        <f>MAX(A$1:A97)+1</f>
        <v>15</v>
      </c>
      <c r="B98" s="73"/>
      <c r="C98" s="36" t="s">
        <v>83</v>
      </c>
      <c r="D98" s="66"/>
      <c r="E98" s="38" t="s">
        <v>182</v>
      </c>
      <c r="F98" s="39"/>
      <c r="G98" s="40" t="s">
        <v>18</v>
      </c>
      <c r="H98" s="64">
        <v>131.07</v>
      </c>
    </row>
    <row r="99" spans="1:8" ht="25.5">
      <c r="A99" s="72"/>
      <c r="B99" s="73"/>
      <c r="C99" s="66"/>
      <c r="D99" s="67" t="s">
        <v>85</v>
      </c>
      <c r="E99" s="71" t="s">
        <v>183</v>
      </c>
      <c r="F99" s="61"/>
      <c r="G99" s="62" t="s">
        <v>18</v>
      </c>
      <c r="H99" s="83">
        <v>131.07</v>
      </c>
    </row>
    <row r="100" spans="1:8">
      <c r="A100" s="169"/>
      <c r="B100" s="31"/>
      <c r="C100" s="31"/>
      <c r="D100" s="32"/>
      <c r="E100" s="65" t="s">
        <v>181</v>
      </c>
      <c r="F100" s="170">
        <f>F80</f>
        <v>131.06589999999994</v>
      </c>
      <c r="G100" s="29"/>
      <c r="H100" s="30"/>
    </row>
    <row r="101" spans="1:8">
      <c r="A101" s="169"/>
      <c r="B101" s="31"/>
      <c r="C101" s="31"/>
      <c r="D101" s="32"/>
      <c r="E101" s="91"/>
      <c r="F101" s="171"/>
      <c r="G101" s="29"/>
      <c r="H101" s="30"/>
    </row>
    <row r="102" spans="1:8" ht="25.5">
      <c r="A102" s="34">
        <f>MAX(A$1:A101)+1</f>
        <v>16</v>
      </c>
      <c r="B102" s="43"/>
      <c r="C102" s="36" t="s">
        <v>185</v>
      </c>
      <c r="D102" s="37"/>
      <c r="E102" s="38" t="s">
        <v>186</v>
      </c>
      <c r="F102" s="39"/>
      <c r="G102" s="40" t="s">
        <v>21</v>
      </c>
      <c r="H102" s="64">
        <v>112.27</v>
      </c>
    </row>
    <row r="103" spans="1:8" ht="25.5">
      <c r="A103" s="72"/>
      <c r="B103" s="73"/>
      <c r="C103" s="66"/>
      <c r="D103" s="67" t="s">
        <v>187</v>
      </c>
      <c r="E103" s="71" t="s">
        <v>188</v>
      </c>
      <c r="F103" s="61"/>
      <c r="G103" s="62" t="s">
        <v>21</v>
      </c>
      <c r="H103" s="83">
        <v>112.27</v>
      </c>
    </row>
    <row r="104" spans="1:8" ht="25.5">
      <c r="A104" s="169"/>
      <c r="B104" s="31"/>
      <c r="C104" s="31"/>
      <c r="D104" s="32"/>
      <c r="E104" s="77" t="s">
        <v>1478</v>
      </c>
      <c r="F104" s="172">
        <f>(3+2)*2*1.9*2+(1.5+1.5)*2*1.6+(1.5+1.5)*2*1.6+(4+2)*2*2*2</f>
        <v>105.2</v>
      </c>
      <c r="G104" s="29"/>
      <c r="H104" s="30"/>
    </row>
    <row r="105" spans="1:8">
      <c r="A105" s="169"/>
      <c r="B105" s="31"/>
      <c r="C105" s="31"/>
      <c r="D105" s="32"/>
      <c r="E105" s="77" t="s">
        <v>1479</v>
      </c>
      <c r="F105" s="240">
        <f>1.16*1.3*2+1.5*1.35*2</f>
        <v>7.0660000000000007</v>
      </c>
      <c r="G105" s="29"/>
      <c r="H105" s="30"/>
    </row>
    <row r="106" spans="1:8">
      <c r="A106" s="169"/>
      <c r="B106" s="31"/>
      <c r="C106" s="31"/>
      <c r="D106" s="32"/>
      <c r="E106" s="77"/>
      <c r="F106" s="172">
        <f>SUM(F104:F105)</f>
        <v>112.26600000000001</v>
      </c>
      <c r="G106" s="29"/>
      <c r="H106" s="30"/>
    </row>
    <row r="107" spans="1:8">
      <c r="A107" s="34"/>
      <c r="B107" s="43"/>
      <c r="C107" s="36"/>
      <c r="D107" s="37"/>
      <c r="E107" s="38"/>
      <c r="F107" s="39"/>
      <c r="G107" s="40"/>
      <c r="H107" s="44"/>
    </row>
    <row r="108" spans="1:8">
      <c r="A108" s="34">
        <f>MAX(A$1:A107)+1</f>
        <v>17</v>
      </c>
      <c r="B108" s="43"/>
      <c r="C108" s="36" t="s">
        <v>550</v>
      </c>
      <c r="D108" s="37"/>
      <c r="E108" s="38" t="s">
        <v>551</v>
      </c>
      <c r="F108" s="39"/>
      <c r="G108" s="40" t="s">
        <v>36</v>
      </c>
      <c r="H108" s="44">
        <v>23.5</v>
      </c>
    </row>
    <row r="109" spans="1:8">
      <c r="A109" s="72"/>
      <c r="B109" s="73"/>
      <c r="C109" s="66"/>
      <c r="D109" s="67" t="s">
        <v>1480</v>
      </c>
      <c r="E109" s="71" t="s">
        <v>1481</v>
      </c>
      <c r="F109" s="61"/>
      <c r="G109" s="62" t="s">
        <v>36</v>
      </c>
      <c r="H109" s="74">
        <v>23.5</v>
      </c>
    </row>
    <row r="110" spans="1:8">
      <c r="A110" s="34"/>
      <c r="B110" s="31"/>
      <c r="C110" s="36"/>
      <c r="D110" s="37"/>
      <c r="E110" s="164" t="s">
        <v>1482</v>
      </c>
      <c r="F110" s="41">
        <v>14</v>
      </c>
      <c r="G110" s="40"/>
      <c r="H110" s="64"/>
    </row>
    <row r="111" spans="1:8" ht="16.5">
      <c r="A111" s="34"/>
      <c r="B111" s="31"/>
      <c r="C111" s="36"/>
      <c r="D111" s="37"/>
      <c r="E111" s="164" t="s">
        <v>1483</v>
      </c>
      <c r="F111" s="209">
        <v>9.5</v>
      </c>
      <c r="G111" s="40"/>
      <c r="H111" s="64"/>
    </row>
    <row r="112" spans="1:8">
      <c r="A112" s="34"/>
      <c r="B112" s="31"/>
      <c r="C112" s="36"/>
      <c r="D112" s="37"/>
      <c r="E112" s="187"/>
      <c r="F112" s="41">
        <f>SUM(F110:F111)</f>
        <v>23.5</v>
      </c>
      <c r="G112" s="40"/>
      <c r="H112" s="64"/>
    </row>
    <row r="113" spans="1:17">
      <c r="A113" s="34"/>
      <c r="B113" s="31"/>
      <c r="C113" s="36"/>
      <c r="D113" s="37"/>
      <c r="E113" s="121"/>
      <c r="F113" s="41"/>
      <c r="G113" s="40"/>
      <c r="H113" s="64"/>
    </row>
    <row r="114" spans="1:17" s="98" customFormat="1" ht="25.5">
      <c r="A114" s="95"/>
      <c r="B114" s="35" t="s">
        <v>189</v>
      </c>
      <c r="C114" s="35"/>
      <c r="D114" s="94"/>
      <c r="E114" s="50" t="s">
        <v>190</v>
      </c>
      <c r="F114" s="100"/>
      <c r="G114" s="97"/>
      <c r="H114" s="42"/>
      <c r="I114"/>
      <c r="J114"/>
      <c r="K114"/>
      <c r="L114"/>
      <c r="Q114"/>
    </row>
    <row r="115" spans="1:17" s="98" customFormat="1">
      <c r="A115" s="95"/>
      <c r="B115" s="35"/>
      <c r="C115" s="35"/>
      <c r="D115" s="94"/>
      <c r="E115" s="50"/>
      <c r="F115" s="100"/>
      <c r="G115" s="97"/>
      <c r="H115" s="42"/>
      <c r="I115"/>
      <c r="J115"/>
      <c r="K115"/>
      <c r="L115"/>
      <c r="Q115"/>
    </row>
    <row r="116" spans="1:17" s="98" customFormat="1">
      <c r="A116" s="34">
        <f>MAX(A$1:A115)+1</f>
        <v>18</v>
      </c>
      <c r="B116" s="35"/>
      <c r="C116" s="36" t="s">
        <v>191</v>
      </c>
      <c r="D116" s="37"/>
      <c r="E116" s="38" t="s">
        <v>192</v>
      </c>
      <c r="F116" s="39"/>
      <c r="G116" s="40" t="s">
        <v>36</v>
      </c>
      <c r="H116" s="52">
        <v>198.25</v>
      </c>
      <c r="I116"/>
      <c r="J116"/>
      <c r="K116"/>
      <c r="L116"/>
      <c r="Q116"/>
    </row>
    <row r="117" spans="1:17" s="98" customFormat="1">
      <c r="A117" s="95"/>
      <c r="B117" s="35"/>
      <c r="C117" s="35"/>
      <c r="D117" s="67" t="s">
        <v>193</v>
      </c>
      <c r="E117" s="71" t="s">
        <v>194</v>
      </c>
      <c r="F117" s="61"/>
      <c r="G117" s="62" t="s">
        <v>36</v>
      </c>
      <c r="H117" s="83">
        <v>198.25</v>
      </c>
      <c r="I117"/>
      <c r="J117"/>
      <c r="K117"/>
      <c r="L117"/>
      <c r="Q117"/>
    </row>
    <row r="118" spans="1:17" s="98" customFormat="1" ht="38.25">
      <c r="A118" s="95"/>
      <c r="B118" s="35"/>
      <c r="C118" s="35"/>
      <c r="D118" s="67"/>
      <c r="E118" s="165" t="s">
        <v>1484</v>
      </c>
      <c r="F118" s="174">
        <v>198.25</v>
      </c>
      <c r="G118" s="97"/>
      <c r="H118" s="42"/>
      <c r="I118"/>
      <c r="J118"/>
      <c r="K118"/>
      <c r="L118"/>
      <c r="Q118"/>
    </row>
    <row r="119" spans="1:17">
      <c r="A119" s="34"/>
      <c r="B119" s="31"/>
      <c r="C119" s="36"/>
      <c r="D119" s="37"/>
      <c r="E119" s="150"/>
      <c r="F119" s="41"/>
      <c r="G119" s="40"/>
      <c r="H119" s="64"/>
    </row>
    <row r="120" spans="1:17">
      <c r="A120" s="34">
        <f>MAX(A$1:A119)+1</f>
        <v>19</v>
      </c>
      <c r="B120" s="73"/>
      <c r="C120" s="36" t="s">
        <v>195</v>
      </c>
      <c r="D120" s="37"/>
      <c r="E120" s="38" t="s">
        <v>196</v>
      </c>
      <c r="F120" s="39"/>
      <c r="G120" s="40" t="s">
        <v>33</v>
      </c>
      <c r="H120" s="64">
        <v>6</v>
      </c>
      <c r="I120" s="710"/>
    </row>
    <row r="121" spans="1:17" ht="25.5">
      <c r="A121" s="34"/>
      <c r="B121" s="31"/>
      <c r="C121" s="31"/>
      <c r="D121" s="67" t="s">
        <v>197</v>
      </c>
      <c r="E121" s="71" t="s">
        <v>198</v>
      </c>
      <c r="F121" s="61"/>
      <c r="G121" s="62" t="s">
        <v>33</v>
      </c>
      <c r="H121" s="83">
        <v>6</v>
      </c>
    </row>
    <row r="122" spans="1:17">
      <c r="A122" s="34"/>
      <c r="B122" s="31"/>
      <c r="C122" s="31"/>
      <c r="D122" s="67"/>
      <c r="E122" s="175" t="s">
        <v>1485</v>
      </c>
      <c r="F122" s="176">
        <v>2</v>
      </c>
      <c r="G122" s="62"/>
      <c r="H122" s="83"/>
    </row>
    <row r="123" spans="1:17">
      <c r="A123" s="34"/>
      <c r="B123" s="31"/>
      <c r="C123" s="31"/>
      <c r="D123" s="67"/>
      <c r="E123" s="175" t="s">
        <v>1486</v>
      </c>
      <c r="F123" s="493">
        <v>4</v>
      </c>
      <c r="G123" s="62"/>
      <c r="H123" s="83"/>
    </row>
    <row r="124" spans="1:17">
      <c r="A124" s="34"/>
      <c r="B124" s="31"/>
      <c r="C124" s="31"/>
      <c r="D124" s="67"/>
      <c r="E124" s="175"/>
      <c r="F124" s="176">
        <f>SUM(F122:F123)</f>
        <v>6</v>
      </c>
      <c r="G124" s="62"/>
      <c r="H124" s="83"/>
    </row>
    <row r="125" spans="1:17">
      <c r="A125" s="72"/>
      <c r="B125" s="73"/>
      <c r="C125" s="66"/>
      <c r="D125" s="67"/>
      <c r="E125" s="494"/>
      <c r="F125" s="173"/>
      <c r="G125" s="62"/>
      <c r="H125" s="83"/>
    </row>
    <row r="126" spans="1:17" ht="25.5">
      <c r="A126" s="34">
        <f>MAX(A$1:A125)+1</f>
        <v>20</v>
      </c>
      <c r="B126" s="73"/>
      <c r="C126" s="36" t="s">
        <v>199</v>
      </c>
      <c r="D126" s="37"/>
      <c r="E126" s="38" t="s">
        <v>200</v>
      </c>
      <c r="F126" s="39"/>
      <c r="G126" s="40" t="s">
        <v>33</v>
      </c>
      <c r="H126" s="64">
        <v>10</v>
      </c>
      <c r="I126" s="4"/>
    </row>
    <row r="127" spans="1:17" ht="25.5">
      <c r="A127" s="72"/>
      <c r="B127" s="73"/>
      <c r="C127" s="66"/>
      <c r="D127" s="67" t="s">
        <v>201</v>
      </c>
      <c r="E127" s="71" t="s">
        <v>202</v>
      </c>
      <c r="F127" s="61"/>
      <c r="G127" s="62" t="s">
        <v>33</v>
      </c>
      <c r="H127" s="83">
        <v>2</v>
      </c>
    </row>
    <row r="128" spans="1:17" ht="25.5">
      <c r="A128" s="72"/>
      <c r="B128" s="73"/>
      <c r="C128" s="66"/>
      <c r="D128" s="67"/>
      <c r="E128" s="161" t="s">
        <v>203</v>
      </c>
      <c r="F128" s="177">
        <v>2</v>
      </c>
      <c r="G128" s="62"/>
      <c r="H128" s="83"/>
    </row>
    <row r="129" spans="1:11" ht="25.5">
      <c r="A129" s="72"/>
      <c r="B129" s="73"/>
      <c r="C129" s="66"/>
      <c r="D129" s="67" t="s">
        <v>726</v>
      </c>
      <c r="E129" s="71" t="s">
        <v>727</v>
      </c>
      <c r="F129" s="61"/>
      <c r="G129" s="62" t="s">
        <v>33</v>
      </c>
      <c r="H129" s="83">
        <v>2</v>
      </c>
      <c r="I129" s="111"/>
      <c r="K129" s="111"/>
    </row>
    <row r="130" spans="1:11">
      <c r="A130" s="72"/>
      <c r="B130" s="73"/>
      <c r="C130" s="66"/>
      <c r="D130" s="67"/>
      <c r="E130" s="175" t="s">
        <v>1487</v>
      </c>
      <c r="F130" s="177">
        <v>2</v>
      </c>
      <c r="G130" s="62"/>
      <c r="H130" s="83"/>
    </row>
    <row r="131" spans="1:11" ht="25.5">
      <c r="A131" s="72"/>
      <c r="B131" s="73"/>
      <c r="C131" s="66"/>
      <c r="D131" s="67" t="s">
        <v>552</v>
      </c>
      <c r="E131" s="71" t="s">
        <v>553</v>
      </c>
      <c r="F131" s="61"/>
      <c r="G131" s="62" t="s">
        <v>33</v>
      </c>
      <c r="H131" s="83">
        <v>2</v>
      </c>
    </row>
    <row r="132" spans="1:11">
      <c r="A132" s="72"/>
      <c r="B132" s="73"/>
      <c r="C132" s="66"/>
      <c r="D132" s="67"/>
      <c r="E132" s="494" t="s">
        <v>1488</v>
      </c>
      <c r="F132" s="177">
        <v>2</v>
      </c>
      <c r="G132" s="62"/>
      <c r="H132" s="83"/>
    </row>
    <row r="133" spans="1:11" ht="25.5">
      <c r="A133" s="72"/>
      <c r="B133" s="73"/>
      <c r="C133" s="66"/>
      <c r="D133" s="67" t="s">
        <v>1489</v>
      </c>
      <c r="E133" s="71" t="s">
        <v>1490</v>
      </c>
      <c r="F133" s="61"/>
      <c r="G133" s="62" t="s">
        <v>33</v>
      </c>
      <c r="H133" s="83">
        <v>4</v>
      </c>
    </row>
    <row r="134" spans="1:11" ht="25.5">
      <c r="A134" s="72"/>
      <c r="B134" s="73"/>
      <c r="C134" s="66"/>
      <c r="D134" s="67"/>
      <c r="E134" s="714" t="s">
        <v>1491</v>
      </c>
      <c r="F134" s="715">
        <v>4</v>
      </c>
      <c r="G134" s="62"/>
      <c r="H134" s="83"/>
    </row>
    <row r="135" spans="1:11">
      <c r="A135" s="72"/>
      <c r="B135" s="73"/>
      <c r="C135" s="66"/>
      <c r="D135" s="67"/>
      <c r="E135" s="494"/>
      <c r="F135" s="173"/>
      <c r="G135" s="62"/>
      <c r="H135" s="83"/>
    </row>
    <row r="136" spans="1:11" ht="25.5">
      <c r="A136" s="34">
        <f>MAX(A$1:A135)+1</f>
        <v>21</v>
      </c>
      <c r="B136" s="43"/>
      <c r="C136" s="36" t="s">
        <v>204</v>
      </c>
      <c r="D136" s="37"/>
      <c r="E136" s="38" t="s">
        <v>205</v>
      </c>
      <c r="F136" s="39"/>
      <c r="G136" s="40" t="s">
        <v>36</v>
      </c>
      <c r="H136" s="64">
        <v>396.5</v>
      </c>
    </row>
    <row r="137" spans="1:11" ht="25.5">
      <c r="A137" s="34"/>
      <c r="B137" s="43"/>
      <c r="C137" s="36"/>
      <c r="D137" s="67" t="s">
        <v>206</v>
      </c>
      <c r="E137" s="71" t="s">
        <v>207</v>
      </c>
      <c r="F137" s="61"/>
      <c r="G137" s="62" t="s">
        <v>36</v>
      </c>
      <c r="H137" s="83">
        <v>198.25</v>
      </c>
    </row>
    <row r="138" spans="1:11">
      <c r="A138" s="34"/>
      <c r="B138" s="43"/>
      <c r="C138" s="36"/>
      <c r="D138" s="37"/>
      <c r="E138" s="147"/>
      <c r="F138" s="181">
        <f>F118</f>
        <v>198.25</v>
      </c>
      <c r="G138" s="40"/>
      <c r="H138" s="64"/>
    </row>
    <row r="139" spans="1:11" ht="25.5">
      <c r="A139" s="72"/>
      <c r="B139" s="73"/>
      <c r="C139" s="66"/>
      <c r="D139" s="67" t="s">
        <v>208</v>
      </c>
      <c r="E139" s="71" t="s">
        <v>209</v>
      </c>
      <c r="F139" s="61"/>
      <c r="G139" s="62" t="s">
        <v>36</v>
      </c>
      <c r="H139" s="83">
        <v>198.25</v>
      </c>
    </row>
    <row r="140" spans="1:11">
      <c r="A140" s="179"/>
      <c r="B140" s="31"/>
      <c r="C140" s="31"/>
      <c r="D140" s="67"/>
      <c r="E140" s="147"/>
      <c r="F140" s="181">
        <f>F118</f>
        <v>198.25</v>
      </c>
      <c r="G140" s="62"/>
      <c r="H140" s="83"/>
    </row>
    <row r="141" spans="1:11">
      <c r="A141" s="179"/>
      <c r="B141" s="31"/>
      <c r="C141" s="31"/>
      <c r="D141" s="67"/>
      <c r="E141" s="491"/>
      <c r="F141" s="181"/>
      <c r="G141" s="62"/>
      <c r="H141" s="83"/>
    </row>
    <row r="142" spans="1:11">
      <c r="A142" s="34">
        <f>MAX(A$1:A141)+1</f>
        <v>22</v>
      </c>
      <c r="B142" s="73"/>
      <c r="C142" s="36" t="s">
        <v>210</v>
      </c>
      <c r="D142" s="37"/>
      <c r="E142" s="38" t="s">
        <v>211</v>
      </c>
      <c r="F142" s="39"/>
      <c r="G142" s="40" t="s">
        <v>212</v>
      </c>
      <c r="H142" s="64">
        <v>2</v>
      </c>
    </row>
    <row r="143" spans="1:11">
      <c r="A143" s="169"/>
      <c r="B143" s="31"/>
      <c r="C143" s="31"/>
      <c r="D143" s="32"/>
      <c r="E143" s="182" t="s">
        <v>213</v>
      </c>
      <c r="F143" s="183">
        <v>1</v>
      </c>
      <c r="G143" s="29"/>
      <c r="H143" s="30"/>
    </row>
    <row r="144" spans="1:11" ht="25.5">
      <c r="A144" s="169"/>
      <c r="B144" s="31"/>
      <c r="C144" s="31"/>
      <c r="D144" s="32"/>
      <c r="E144" s="184" t="s">
        <v>214</v>
      </c>
      <c r="F144" s="185">
        <v>1</v>
      </c>
      <c r="G144" s="29"/>
      <c r="H144" s="30"/>
    </row>
    <row r="145" spans="1:9">
      <c r="A145" s="169"/>
      <c r="B145" s="31"/>
      <c r="C145" s="31"/>
      <c r="D145" s="32"/>
      <c r="E145" s="182"/>
      <c r="F145" s="186">
        <f>SUM(F143:F144)</f>
        <v>2</v>
      </c>
      <c r="G145" s="29"/>
      <c r="H145" s="30"/>
    </row>
    <row r="146" spans="1:9">
      <c r="A146" s="169"/>
      <c r="B146" s="31"/>
      <c r="C146" s="31"/>
      <c r="D146" s="67"/>
      <c r="E146" s="65"/>
      <c r="F146" s="90"/>
      <c r="G146" s="62"/>
      <c r="H146" s="83"/>
    </row>
    <row r="147" spans="1:9" ht="25.5">
      <c r="A147" s="34">
        <f>MAX(A$1:A146)+1</f>
        <v>23</v>
      </c>
      <c r="B147" s="43"/>
      <c r="C147" s="36" t="s">
        <v>215</v>
      </c>
      <c r="D147" s="37"/>
      <c r="E147" s="38" t="s">
        <v>216</v>
      </c>
      <c r="F147" s="39"/>
      <c r="G147" s="40" t="s">
        <v>18</v>
      </c>
      <c r="H147" s="64">
        <v>26.22</v>
      </c>
    </row>
    <row r="148" spans="1:9" ht="25.5">
      <c r="A148" s="179"/>
      <c r="B148" s="31"/>
      <c r="C148" s="31"/>
      <c r="D148" s="67"/>
      <c r="E148" s="164" t="s">
        <v>1492</v>
      </c>
      <c r="F148" s="716">
        <f>1.16*1*0.15+1.5*1*0.15+172.12*1*0.15</f>
        <v>26.217000000000002</v>
      </c>
      <c r="G148" s="62"/>
      <c r="H148" s="83"/>
    </row>
    <row r="149" spans="1:9">
      <c r="A149" s="179"/>
      <c r="B149" s="31"/>
      <c r="C149" s="31"/>
      <c r="D149" s="67"/>
      <c r="E149" s="187"/>
      <c r="F149" s="188"/>
      <c r="G149" s="62"/>
      <c r="H149" s="83"/>
    </row>
    <row r="150" spans="1:9" ht="25.5">
      <c r="A150" s="179"/>
      <c r="B150" s="35" t="s">
        <v>261</v>
      </c>
      <c r="C150" s="35"/>
      <c r="D150" s="94"/>
      <c r="E150" s="50" t="s">
        <v>262</v>
      </c>
      <c r="F150" s="188"/>
      <c r="G150" s="62"/>
      <c r="H150" s="83"/>
    </row>
    <row r="151" spans="1:9">
      <c r="A151" s="179"/>
      <c r="B151" s="31"/>
      <c r="C151" s="31"/>
      <c r="D151" s="67"/>
      <c r="E151" s="187"/>
      <c r="F151" s="188"/>
      <c r="G151" s="62"/>
      <c r="H151" s="83"/>
    </row>
    <row r="152" spans="1:9" ht="25.5">
      <c r="A152" s="34">
        <f>MAX(A$1:A151)+1</f>
        <v>24</v>
      </c>
      <c r="B152" s="31"/>
      <c r="C152" s="36" t="s">
        <v>296</v>
      </c>
      <c r="D152" s="37"/>
      <c r="E152" s="38" t="s">
        <v>297</v>
      </c>
      <c r="F152" s="39"/>
      <c r="G152" s="40" t="s">
        <v>21</v>
      </c>
      <c r="H152" s="128">
        <v>258.18</v>
      </c>
    </row>
    <row r="153" spans="1:9" ht="25.5">
      <c r="A153" s="179"/>
      <c r="B153" s="31"/>
      <c r="C153" s="66"/>
      <c r="D153" s="67" t="s">
        <v>365</v>
      </c>
      <c r="E153" s="71" t="s">
        <v>366</v>
      </c>
      <c r="F153" s="61"/>
      <c r="G153" s="62" t="s">
        <v>21</v>
      </c>
      <c r="H153" s="124">
        <v>258.18</v>
      </c>
    </row>
    <row r="154" spans="1:9">
      <c r="A154" s="179"/>
      <c r="B154" s="31"/>
      <c r="C154" s="31"/>
      <c r="D154" s="67"/>
      <c r="E154" s="187" t="s">
        <v>1493</v>
      </c>
      <c r="F154" s="188">
        <v>258.18</v>
      </c>
      <c r="G154" s="62"/>
      <c r="H154" s="83"/>
    </row>
    <row r="155" spans="1:9">
      <c r="A155" s="179"/>
      <c r="B155" s="31"/>
      <c r="C155" s="31"/>
      <c r="D155" s="67"/>
      <c r="E155" s="187"/>
      <c r="F155" s="188"/>
      <c r="G155" s="62"/>
      <c r="H155" s="83"/>
    </row>
    <row r="156" spans="1:9" ht="25.5">
      <c r="A156" s="34">
        <f>MAX(A$1:A155)+1</f>
        <v>25</v>
      </c>
      <c r="B156" s="31"/>
      <c r="C156" s="36" t="s">
        <v>298</v>
      </c>
      <c r="D156" s="37"/>
      <c r="E156" s="38" t="s">
        <v>299</v>
      </c>
      <c r="F156" s="39"/>
      <c r="G156" s="40" t="s">
        <v>18</v>
      </c>
      <c r="H156" s="64">
        <v>10.33</v>
      </c>
      <c r="I156" s="120"/>
    </row>
    <row r="157" spans="1:9" ht="25.5">
      <c r="A157" s="179"/>
      <c r="B157" s="31"/>
      <c r="C157" s="66"/>
      <c r="D157" s="67" t="s">
        <v>367</v>
      </c>
      <c r="E157" s="71" t="s">
        <v>368</v>
      </c>
      <c r="F157" s="61"/>
      <c r="G157" s="62" t="s">
        <v>18</v>
      </c>
      <c r="H157" s="83">
        <v>10.33</v>
      </c>
    </row>
    <row r="158" spans="1:9">
      <c r="A158" s="179"/>
      <c r="B158" s="31"/>
      <c r="C158" s="31"/>
      <c r="D158" s="67"/>
      <c r="E158" s="187" t="s">
        <v>1494</v>
      </c>
      <c r="F158" s="188">
        <f>0.04*258.18</f>
        <v>10.327200000000001</v>
      </c>
      <c r="G158" s="62"/>
      <c r="H158" s="83"/>
    </row>
    <row r="159" spans="1:9">
      <c r="A159" s="179"/>
      <c r="B159" s="31"/>
      <c r="C159" s="31"/>
      <c r="D159" s="67"/>
      <c r="E159" s="187"/>
      <c r="F159" s="188"/>
      <c r="G159" s="62"/>
      <c r="H159" s="83"/>
    </row>
    <row r="160" spans="1:9" ht="25.5">
      <c r="A160" s="179"/>
      <c r="B160" s="35" t="s">
        <v>270</v>
      </c>
      <c r="C160" s="35"/>
      <c r="D160" s="94"/>
      <c r="E160" s="211" t="s">
        <v>271</v>
      </c>
      <c r="F160" s="188"/>
      <c r="G160" s="62"/>
      <c r="H160" s="83"/>
    </row>
    <row r="161" spans="1:17">
      <c r="A161" s="179"/>
      <c r="B161" s="31"/>
      <c r="C161" s="31"/>
      <c r="D161" s="67"/>
      <c r="E161" s="187"/>
      <c r="F161" s="188"/>
      <c r="G161" s="62"/>
      <c r="H161" s="83"/>
    </row>
    <row r="162" spans="1:17" ht="25.5">
      <c r="A162" s="34">
        <f>MAX(A$1:A161)+1</f>
        <v>26</v>
      </c>
      <c r="B162" s="31"/>
      <c r="C162" s="36" t="s">
        <v>385</v>
      </c>
      <c r="D162" s="37"/>
      <c r="E162" s="38" t="s">
        <v>386</v>
      </c>
      <c r="F162" s="39"/>
      <c r="G162" s="40" t="s">
        <v>18</v>
      </c>
      <c r="H162" s="64">
        <v>38.729999999999997</v>
      </c>
      <c r="I162" s="710"/>
    </row>
    <row r="163" spans="1:17" ht="25.5">
      <c r="A163" s="179"/>
      <c r="B163" s="31"/>
      <c r="C163" s="31"/>
      <c r="D163" s="67"/>
      <c r="E163" s="187" t="s">
        <v>1495</v>
      </c>
      <c r="F163" s="188">
        <f>0.15*258.18</f>
        <v>38.726999999999997</v>
      </c>
      <c r="G163" s="62"/>
      <c r="H163" s="83"/>
    </row>
    <row r="164" spans="1:17">
      <c r="A164" s="179"/>
      <c r="B164" s="31"/>
      <c r="C164" s="31"/>
      <c r="D164" s="67"/>
      <c r="E164" s="187"/>
      <c r="F164" s="188"/>
      <c r="G164" s="62"/>
      <c r="H164" s="83"/>
    </row>
    <row r="165" spans="1:17" ht="25.5">
      <c r="A165" s="34">
        <f>MAX(A$1:A164)+1</f>
        <v>27</v>
      </c>
      <c r="B165" s="31"/>
      <c r="C165" s="36" t="s">
        <v>430</v>
      </c>
      <c r="D165" s="37"/>
      <c r="E165" s="38" t="s">
        <v>431</v>
      </c>
      <c r="F165" s="39"/>
      <c r="G165" s="40" t="s">
        <v>18</v>
      </c>
      <c r="H165" s="64">
        <v>30.98</v>
      </c>
      <c r="I165" s="710"/>
    </row>
    <row r="166" spans="1:17" ht="38.25">
      <c r="A166" s="179"/>
      <c r="B166" s="31"/>
      <c r="C166" s="31"/>
      <c r="D166" s="67" t="s">
        <v>1077</v>
      </c>
      <c r="E166" s="71" t="s">
        <v>1078</v>
      </c>
      <c r="F166" s="61"/>
      <c r="G166" s="62" t="s">
        <v>18</v>
      </c>
      <c r="H166" s="83">
        <v>30.98</v>
      </c>
    </row>
    <row r="167" spans="1:17" ht="25.5">
      <c r="A167" s="179"/>
      <c r="B167" s="31"/>
      <c r="C167" s="31"/>
      <c r="D167" s="67"/>
      <c r="E167" s="187" t="s">
        <v>1496</v>
      </c>
      <c r="F167" s="188">
        <f>0.12*258.18</f>
        <v>30.9816</v>
      </c>
      <c r="G167" s="62"/>
      <c r="H167" s="83"/>
    </row>
    <row r="168" spans="1:17">
      <c r="A168" s="179"/>
      <c r="B168" s="31"/>
      <c r="C168" s="31"/>
      <c r="D168" s="67"/>
      <c r="E168" s="187"/>
      <c r="F168" s="188"/>
      <c r="G168" s="62"/>
      <c r="H168" s="83"/>
    </row>
    <row r="169" spans="1:17">
      <c r="A169" s="179"/>
      <c r="B169" s="31"/>
      <c r="C169" s="31"/>
      <c r="D169" s="67"/>
      <c r="E169" s="65"/>
      <c r="F169" s="172"/>
      <c r="G169" s="62"/>
      <c r="H169" s="83"/>
    </row>
    <row r="170" spans="1:17" ht="15.75" thickBot="1">
      <c r="A170" s="200"/>
      <c r="B170" s="201"/>
      <c r="C170" s="202"/>
      <c r="D170" s="203"/>
      <c r="E170" s="204"/>
      <c r="F170" s="205"/>
      <c r="G170" s="206"/>
      <c r="H170" s="207"/>
    </row>
    <row r="171" spans="1:17">
      <c r="Q171" s="717"/>
    </row>
    <row r="174" spans="1:17" ht="25.5">
      <c r="E174" s="718"/>
    </row>
  </sheetData>
  <sheetProtection algorithmName="SHA-512" hashValue="JhH5mYioRpJQEKPzcX4OoPMSvealVB07g8fZhcJLhHF9mgotSsRPpP1j4aZwe1Eyz9v4jXGa6eoe29GftLlEiQ==" saltValue="Ylh4UEik/noq2jNiOF/3+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FDC97-3948-4427-BBC1-629130224061}">
  <sheetPr codeName="Hárok55"/>
  <dimension ref="A1:H92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1.2000000000000002</v>
      </c>
    </row>
    <row r="9" spans="1:8">
      <c r="A9" s="47"/>
      <c r="B9" s="24"/>
      <c r="C9" s="25"/>
      <c r="D9" s="26"/>
      <c r="E9" s="27"/>
      <c r="F9" s="144">
        <f>F37</f>
        <v>1.2000000000000002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1252"/>
      <c r="H21" s="42"/>
    </row>
    <row r="22" spans="1:8" ht="15.75">
      <c r="A22" s="47"/>
      <c r="B22" s="24"/>
      <c r="C22" s="48"/>
      <c r="D22" s="49"/>
      <c r="E22" s="50"/>
      <c r="F22" s="1248"/>
      <c r="G22" s="1252"/>
      <c r="H22" s="42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</v>
      </c>
    </row>
    <row r="24" spans="1:8" ht="38.25">
      <c r="A24" s="72"/>
      <c r="B24" s="73"/>
      <c r="C24" s="66"/>
      <c r="D24" s="67" t="s">
        <v>491</v>
      </c>
      <c r="E24" s="71" t="s">
        <v>492</v>
      </c>
      <c r="F24" s="61"/>
      <c r="G24" s="62" t="s">
        <v>33</v>
      </c>
      <c r="H24" s="83">
        <v>1</v>
      </c>
    </row>
    <row r="25" spans="1:8">
      <c r="A25" s="34"/>
      <c r="B25" s="125"/>
      <c r="C25" s="125"/>
      <c r="D25" s="601"/>
      <c r="E25" s="168" t="s">
        <v>2896</v>
      </c>
      <c r="F25" s="603">
        <v>1</v>
      </c>
      <c r="G25" s="32"/>
      <c r="H25" s="83"/>
    </row>
    <row r="26" spans="1:8">
      <c r="A26" s="34"/>
      <c r="B26" s="125"/>
      <c r="C26" s="125"/>
      <c r="D26" s="601"/>
      <c r="E26" s="168"/>
      <c r="F26" s="603"/>
      <c r="G26" s="32"/>
      <c r="H26" s="83"/>
    </row>
    <row r="27" spans="1:8">
      <c r="A27" s="95"/>
      <c r="B27" s="35" t="s">
        <v>72</v>
      </c>
      <c r="C27" s="93"/>
      <c r="D27" s="94"/>
      <c r="E27" s="50" t="s">
        <v>73</v>
      </c>
      <c r="F27" s="100"/>
      <c r="G27" s="101"/>
      <c r="H27" s="42"/>
    </row>
    <row r="28" spans="1:8">
      <c r="A28" s="34"/>
      <c r="B28" s="125"/>
      <c r="C28" s="125"/>
      <c r="D28" s="601"/>
      <c r="E28" s="168"/>
      <c r="F28" s="603"/>
      <c r="G28" s="32"/>
      <c r="H28" s="83"/>
    </row>
    <row r="29" spans="1:8">
      <c r="A29" s="34">
        <f>MAX(A$1:A28)+1</f>
        <v>6</v>
      </c>
      <c r="B29" s="31"/>
      <c r="C29" s="36" t="s">
        <v>158</v>
      </c>
      <c r="D29" s="37"/>
      <c r="E29" s="38" t="s">
        <v>159</v>
      </c>
      <c r="F29" s="39"/>
      <c r="G29" s="40" t="s">
        <v>18</v>
      </c>
      <c r="H29" s="64">
        <v>3.27</v>
      </c>
    </row>
    <row r="30" spans="1:8">
      <c r="A30" s="34"/>
      <c r="B30" s="31"/>
      <c r="C30" s="31"/>
      <c r="D30" s="67" t="s">
        <v>160</v>
      </c>
      <c r="E30" s="71" t="s">
        <v>161</v>
      </c>
      <c r="F30" s="61"/>
      <c r="G30" s="62" t="s">
        <v>18</v>
      </c>
      <c r="H30" s="83">
        <v>3.27</v>
      </c>
    </row>
    <row r="31" spans="1:8">
      <c r="A31" s="34"/>
      <c r="B31" s="31"/>
      <c r="C31" s="31"/>
      <c r="D31" s="67"/>
      <c r="E31" s="168" t="s">
        <v>3110</v>
      </c>
      <c r="F31" s="46">
        <f>10*0.35*0.19</f>
        <v>0.66500000000000004</v>
      </c>
      <c r="G31" s="62"/>
      <c r="H31" s="83"/>
    </row>
    <row r="32" spans="1:8">
      <c r="A32" s="34"/>
      <c r="B32" s="31"/>
      <c r="C32" s="31"/>
      <c r="D32" s="32"/>
      <c r="E32" s="168" t="s">
        <v>3111</v>
      </c>
      <c r="F32" s="180">
        <f>8*0.5*0.65</f>
        <v>2.6</v>
      </c>
      <c r="G32" s="29"/>
      <c r="H32" s="30"/>
    </row>
    <row r="33" spans="1:8">
      <c r="A33" s="34"/>
      <c r="B33" s="31"/>
      <c r="C33" s="31"/>
      <c r="D33" s="32"/>
      <c r="E33" s="168" t="s">
        <v>1130</v>
      </c>
      <c r="F33" s="706">
        <f>SUM(F31:F32)</f>
        <v>3.2650000000000001</v>
      </c>
      <c r="G33" s="29"/>
      <c r="H33" s="30"/>
    </row>
    <row r="34" spans="1:8">
      <c r="A34" s="34"/>
      <c r="B34" s="125"/>
      <c r="C34" s="125"/>
      <c r="D34" s="601"/>
      <c r="E34" s="168"/>
      <c r="F34" s="603"/>
      <c r="G34" s="32"/>
      <c r="H34" s="83"/>
    </row>
    <row r="35" spans="1:8">
      <c r="A35" s="34">
        <f>MAX(A$1:A34)+1</f>
        <v>7</v>
      </c>
      <c r="B35" s="31"/>
      <c r="C35" s="36" t="s">
        <v>58</v>
      </c>
      <c r="D35" s="248"/>
      <c r="E35" s="38" t="s">
        <v>59</v>
      </c>
      <c r="F35" s="78"/>
      <c r="G35" s="40" t="s">
        <v>18</v>
      </c>
      <c r="H35" s="64">
        <v>1.2000000000000002</v>
      </c>
    </row>
    <row r="36" spans="1:8" customFormat="1" ht="15">
      <c r="A36" s="145"/>
      <c r="B36" s="31"/>
      <c r="C36" s="66"/>
      <c r="D36" s="242" t="s">
        <v>60</v>
      </c>
      <c r="E36" s="71" t="s">
        <v>61</v>
      </c>
      <c r="F36" s="28"/>
      <c r="G36" s="62" t="s">
        <v>18</v>
      </c>
      <c r="H36" s="83">
        <v>1.2000000000000002</v>
      </c>
    </row>
    <row r="37" spans="1:8" customFormat="1" ht="15">
      <c r="A37" s="145"/>
      <c r="B37" s="31"/>
      <c r="C37" s="66"/>
      <c r="D37" s="242"/>
      <c r="E37" s="157" t="s">
        <v>2741</v>
      </c>
      <c r="F37" s="144">
        <f>F47</f>
        <v>1.2000000000000002</v>
      </c>
      <c r="G37" s="62"/>
      <c r="H37" s="83"/>
    </row>
    <row r="38" spans="1:8" customFormat="1" ht="15">
      <c r="A38" s="34"/>
      <c r="B38" s="125"/>
      <c r="C38" s="125"/>
      <c r="D38" s="601"/>
      <c r="E38" s="168"/>
      <c r="F38" s="603"/>
      <c r="G38" s="32"/>
      <c r="H38" s="83"/>
    </row>
    <row r="39" spans="1:8" customFormat="1" ht="15">
      <c r="A39" s="34">
        <f>MAX(A$1:A38)+1</f>
        <v>8</v>
      </c>
      <c r="B39" s="31"/>
      <c r="C39" s="36" t="s">
        <v>78</v>
      </c>
      <c r="D39" s="37"/>
      <c r="E39" s="38" t="s">
        <v>79</v>
      </c>
      <c r="F39" s="39"/>
      <c r="G39" s="40" t="s">
        <v>18</v>
      </c>
      <c r="H39" s="64">
        <v>2.0699999999999998</v>
      </c>
    </row>
    <row r="40" spans="1:8" customFormat="1" ht="15">
      <c r="A40" s="34"/>
      <c r="B40" s="31"/>
      <c r="C40" s="31"/>
      <c r="D40" s="67" t="s">
        <v>80</v>
      </c>
      <c r="E40" s="71" t="s">
        <v>81</v>
      </c>
      <c r="F40" s="61"/>
      <c r="G40" s="62" t="s">
        <v>18</v>
      </c>
      <c r="H40" s="83">
        <v>2.0699999999999998</v>
      </c>
    </row>
    <row r="41" spans="1:8" customFormat="1" ht="15">
      <c r="A41" s="34"/>
      <c r="B41" s="31"/>
      <c r="C41" s="31"/>
      <c r="D41" s="32"/>
      <c r="E41" s="168" t="s">
        <v>3110</v>
      </c>
      <c r="F41" s="46">
        <f>10*0.35*0.19</f>
        <v>0.66500000000000004</v>
      </c>
      <c r="G41" s="29"/>
      <c r="H41" s="30"/>
    </row>
    <row r="42" spans="1:8" customFormat="1" ht="15">
      <c r="A42" s="145"/>
      <c r="B42" s="31"/>
      <c r="C42" s="31"/>
      <c r="D42" s="32"/>
      <c r="E42" s="168" t="s">
        <v>3112</v>
      </c>
      <c r="F42" s="180">
        <f>8*0.5*0.35</f>
        <v>1.4</v>
      </c>
      <c r="G42" s="29"/>
      <c r="H42" s="30"/>
    </row>
    <row r="43" spans="1:8" customFormat="1" ht="15">
      <c r="A43" s="145"/>
      <c r="B43" s="31"/>
      <c r="C43" s="31"/>
      <c r="D43" s="32"/>
      <c r="E43" s="168" t="s">
        <v>1130</v>
      </c>
      <c r="F43" s="706">
        <f>SUM(F41:F42)</f>
        <v>2.0649999999999999</v>
      </c>
      <c r="G43" s="29"/>
      <c r="H43" s="30"/>
    </row>
    <row r="44" spans="1:8" customFormat="1" ht="15">
      <c r="A44" s="145"/>
      <c r="B44" s="31"/>
      <c r="C44" s="31"/>
      <c r="D44" s="32"/>
      <c r="E44" s="168"/>
      <c r="F44" s="603"/>
      <c r="G44" s="29"/>
      <c r="H44" s="30"/>
    </row>
    <row r="45" spans="1:8" customFormat="1" ht="15">
      <c r="A45" s="34">
        <f>MAX(A$1:A44)+1</f>
        <v>9</v>
      </c>
      <c r="B45" s="43"/>
      <c r="C45" s="36" t="s">
        <v>50</v>
      </c>
      <c r="D45" s="37"/>
      <c r="E45" s="38" t="s">
        <v>51</v>
      </c>
      <c r="F45" s="39"/>
      <c r="G45" s="40" t="s">
        <v>18</v>
      </c>
      <c r="H45" s="64">
        <v>1.2000000000000002</v>
      </c>
    </row>
    <row r="46" spans="1:8" customFormat="1" ht="25.5">
      <c r="A46" s="72"/>
      <c r="B46" s="73"/>
      <c r="C46" s="66"/>
      <c r="D46" s="67" t="s">
        <v>138</v>
      </c>
      <c r="E46" s="71" t="s">
        <v>139</v>
      </c>
      <c r="F46" s="61"/>
      <c r="G46" s="62" t="s">
        <v>18</v>
      </c>
      <c r="H46" s="83">
        <v>1.2000000000000002</v>
      </c>
    </row>
    <row r="47" spans="1:8" customFormat="1" ht="25.5">
      <c r="A47" s="34"/>
      <c r="B47" s="31"/>
      <c r="C47" s="31"/>
      <c r="D47" s="32"/>
      <c r="E47" s="168" t="s">
        <v>3113</v>
      </c>
      <c r="F47" s="170">
        <f>3.27-2.07</f>
        <v>1.2000000000000002</v>
      </c>
      <c r="G47" s="29"/>
      <c r="H47" s="30"/>
    </row>
    <row r="48" spans="1:8" customFormat="1" ht="15">
      <c r="A48" s="145"/>
      <c r="B48" s="31"/>
      <c r="C48" s="31"/>
      <c r="D48" s="32"/>
      <c r="E48" s="168"/>
      <c r="F48" s="172"/>
      <c r="G48" s="29"/>
      <c r="H48" s="30"/>
    </row>
    <row r="49" spans="1:8" customFormat="1" ht="25.5">
      <c r="A49" s="178"/>
      <c r="B49" s="35" t="s">
        <v>270</v>
      </c>
      <c r="C49" s="35"/>
      <c r="D49" s="94"/>
      <c r="E49" s="50" t="s">
        <v>271</v>
      </c>
      <c r="F49" s="28"/>
      <c r="G49" s="29"/>
      <c r="H49" s="30"/>
    </row>
    <row r="50" spans="1:8" customFormat="1" ht="15">
      <c r="A50" s="178"/>
      <c r="B50" s="31"/>
      <c r="C50" s="31"/>
      <c r="D50" s="32"/>
      <c r="E50" s="33"/>
      <c r="F50" s="28"/>
      <c r="G50" s="29"/>
      <c r="H50" s="30"/>
    </row>
    <row r="51" spans="1:8" customFormat="1" ht="25.5">
      <c r="A51" s="34">
        <f>MAX(A$1:A50)+1</f>
        <v>10</v>
      </c>
      <c r="B51" s="31"/>
      <c r="C51" s="36" t="s">
        <v>2759</v>
      </c>
      <c r="D51" s="37"/>
      <c r="E51" s="38" t="s">
        <v>2760</v>
      </c>
      <c r="F51" s="39"/>
      <c r="G51" s="40" t="s">
        <v>18</v>
      </c>
      <c r="H51" s="64">
        <v>1.1399999999999999</v>
      </c>
    </row>
    <row r="52" spans="1:8" customFormat="1" ht="25.5">
      <c r="A52" s="178"/>
      <c r="B52" s="31"/>
      <c r="C52" s="31"/>
      <c r="D52" s="191" t="s">
        <v>2761</v>
      </c>
      <c r="E52" s="193" t="s">
        <v>2762</v>
      </c>
      <c r="F52" s="192"/>
      <c r="G52" s="62" t="s">
        <v>18</v>
      </c>
      <c r="H52" s="83">
        <v>1.1399999999999999</v>
      </c>
    </row>
    <row r="53" spans="1:8" customFormat="1" ht="25.5">
      <c r="A53" s="178"/>
      <c r="B53" s="31"/>
      <c r="C53" s="31"/>
      <c r="D53" s="32"/>
      <c r="E53" s="168" t="s">
        <v>3114</v>
      </c>
      <c r="F53" s="170">
        <f>(8*0.5*0.3)-(3.14*(0.05*0.05)*8)</f>
        <v>1.1372</v>
      </c>
      <c r="G53" s="29"/>
      <c r="H53" s="30"/>
    </row>
    <row r="54" spans="1:8" customFormat="1" ht="15">
      <c r="A54" s="178"/>
      <c r="B54" s="31"/>
      <c r="C54" s="31"/>
      <c r="D54" s="32"/>
      <c r="E54" s="33"/>
      <c r="F54" s="28"/>
      <c r="G54" s="29"/>
      <c r="H54" s="30"/>
    </row>
    <row r="55" spans="1:8" ht="25.5">
      <c r="A55" s="34">
        <f>MAX(A$1:A54)+1</f>
        <v>11</v>
      </c>
      <c r="B55" s="31"/>
      <c r="C55" s="36" t="s">
        <v>576</v>
      </c>
      <c r="D55" s="37"/>
      <c r="E55" s="38" t="s">
        <v>577</v>
      </c>
      <c r="F55" s="39"/>
      <c r="G55" s="40" t="s">
        <v>36</v>
      </c>
      <c r="H55" s="64">
        <v>8</v>
      </c>
    </row>
    <row r="56" spans="1:8" ht="25.5">
      <c r="A56" s="178"/>
      <c r="B56" s="31"/>
      <c r="C56" s="31"/>
      <c r="D56" s="67" t="s">
        <v>754</v>
      </c>
      <c r="E56" s="71" t="s">
        <v>755</v>
      </c>
      <c r="F56" s="61"/>
      <c r="G56" s="62" t="s">
        <v>36</v>
      </c>
      <c r="H56" s="83">
        <v>8</v>
      </c>
    </row>
    <row r="57" spans="1:8">
      <c r="A57" s="178"/>
      <c r="B57" s="31"/>
      <c r="C57" s="31"/>
      <c r="D57" s="32"/>
      <c r="E57" s="168" t="s">
        <v>3115</v>
      </c>
      <c r="F57" s="170">
        <f>8*1</f>
        <v>8</v>
      </c>
      <c r="G57" s="29"/>
      <c r="H57" s="30"/>
    </row>
    <row r="58" spans="1:8">
      <c r="A58" s="145"/>
      <c r="B58" s="31"/>
      <c r="C58" s="31"/>
      <c r="D58" s="32"/>
      <c r="E58" s="168"/>
      <c r="F58" s="172"/>
      <c r="G58" s="29"/>
      <c r="H58" s="30"/>
    </row>
    <row r="59" spans="1:8">
      <c r="A59" s="95"/>
      <c r="B59" s="35" t="s">
        <v>621</v>
      </c>
      <c r="C59" s="35"/>
      <c r="D59" s="94"/>
      <c r="E59" s="50" t="s">
        <v>622</v>
      </c>
      <c r="F59" s="100"/>
      <c r="G59" s="97"/>
      <c r="H59" s="42"/>
    </row>
    <row r="60" spans="1:8">
      <c r="A60" s="34"/>
      <c r="B60" s="125"/>
      <c r="C60" s="125"/>
      <c r="D60" s="601"/>
      <c r="E60" s="193"/>
      <c r="F60" s="603"/>
      <c r="G60" s="32"/>
      <c r="H60" s="83"/>
    </row>
    <row r="61" spans="1:8" ht="25.5">
      <c r="A61" s="34">
        <f>MAX(A$1:A60)+1</f>
        <v>12</v>
      </c>
      <c r="B61" s="43"/>
      <c r="C61" s="195">
        <v>92010207</v>
      </c>
      <c r="D61" s="196"/>
      <c r="E61" s="38" t="s">
        <v>2862</v>
      </c>
      <c r="F61" s="39"/>
      <c r="G61" s="40" t="s">
        <v>33</v>
      </c>
      <c r="H61" s="64">
        <v>2</v>
      </c>
    </row>
    <row r="62" spans="1:8" ht="25.5">
      <c r="A62" s="105"/>
      <c r="B62" s="73"/>
      <c r="C62" s="198"/>
      <c r="D62" s="199">
        <v>9201020702</v>
      </c>
      <c r="E62" s="71" t="s">
        <v>2863</v>
      </c>
      <c r="F62" s="61"/>
      <c r="G62" s="62" t="s">
        <v>33</v>
      </c>
      <c r="H62" s="83">
        <v>2</v>
      </c>
    </row>
    <row r="63" spans="1:8">
      <c r="A63" s="34"/>
      <c r="B63" s="125"/>
      <c r="C63" s="125"/>
      <c r="D63" s="601"/>
      <c r="E63" s="168" t="s">
        <v>3092</v>
      </c>
      <c r="F63" s="603">
        <v>1</v>
      </c>
      <c r="G63" s="32"/>
      <c r="H63" s="83"/>
    </row>
    <row r="64" spans="1:8">
      <c r="A64" s="34"/>
      <c r="B64" s="125"/>
      <c r="C64" s="125"/>
      <c r="D64" s="601"/>
      <c r="E64" s="168" t="s">
        <v>3093</v>
      </c>
      <c r="F64" s="705">
        <v>1</v>
      </c>
      <c r="G64" s="32"/>
      <c r="H64" s="83"/>
    </row>
    <row r="65" spans="1:8">
      <c r="A65" s="34"/>
      <c r="B65" s="125"/>
      <c r="C65" s="125"/>
      <c r="D65" s="601"/>
      <c r="E65" s="168" t="s">
        <v>1130</v>
      </c>
      <c r="F65" s="706">
        <f>SUM(F62:F64)</f>
        <v>2</v>
      </c>
      <c r="G65" s="32"/>
      <c r="H65" s="83"/>
    </row>
    <row r="66" spans="1:8">
      <c r="A66" s="34"/>
      <c r="B66" s="125"/>
      <c r="C66" s="125"/>
      <c r="D66" s="601"/>
      <c r="E66" s="193"/>
      <c r="F66" s="603"/>
      <c r="G66" s="32"/>
      <c r="H66" s="83"/>
    </row>
    <row r="67" spans="1:8" ht="25.5">
      <c r="A67" s="34">
        <f>MAX(A$1:A66)+1</f>
        <v>13</v>
      </c>
      <c r="B67" s="43"/>
      <c r="C67" s="195">
        <v>92020301</v>
      </c>
      <c r="D67" s="196"/>
      <c r="E67" s="38" t="s">
        <v>476</v>
      </c>
      <c r="F67" s="39"/>
      <c r="G67" s="40" t="s">
        <v>33</v>
      </c>
      <c r="H67" s="64">
        <v>4</v>
      </c>
    </row>
    <row r="68" spans="1:8" ht="25.5">
      <c r="A68" s="72"/>
      <c r="B68" s="73"/>
      <c r="C68" s="198"/>
      <c r="D68" s="199">
        <v>9202030102</v>
      </c>
      <c r="E68" s="71" t="s">
        <v>490</v>
      </c>
      <c r="F68" s="61"/>
      <c r="G68" s="62" t="s">
        <v>33</v>
      </c>
      <c r="H68" s="83">
        <v>4</v>
      </c>
    </row>
    <row r="69" spans="1:8">
      <c r="A69" s="34"/>
      <c r="B69" s="125"/>
      <c r="C69" s="125"/>
      <c r="D69" s="601"/>
      <c r="E69" s="168" t="s">
        <v>3094</v>
      </c>
      <c r="F69" s="603">
        <v>4</v>
      </c>
      <c r="G69" s="32"/>
      <c r="H69" s="83"/>
    </row>
    <row r="70" spans="1:8">
      <c r="A70" s="34"/>
      <c r="B70" s="125"/>
      <c r="C70" s="125"/>
      <c r="D70" s="601"/>
      <c r="E70" s="193"/>
      <c r="F70" s="603"/>
      <c r="G70" s="32"/>
      <c r="H70" s="83"/>
    </row>
    <row r="71" spans="1:8" ht="25.5">
      <c r="A71" s="34">
        <f>MAX(A$1:A70)+1</f>
        <v>14</v>
      </c>
      <c r="B71" s="43"/>
      <c r="C71" s="195">
        <v>92020702</v>
      </c>
      <c r="D71" s="196"/>
      <c r="E71" s="38" t="s">
        <v>718</v>
      </c>
      <c r="F71" s="39"/>
      <c r="G71" s="40" t="s">
        <v>33</v>
      </c>
      <c r="H71" s="64">
        <v>4</v>
      </c>
    </row>
    <row r="72" spans="1:8" ht="25.5">
      <c r="A72" s="72"/>
      <c r="B72" s="73"/>
      <c r="C72" s="198"/>
      <c r="D72" s="199">
        <v>9202070202</v>
      </c>
      <c r="E72" s="71" t="s">
        <v>719</v>
      </c>
      <c r="F72" s="61"/>
      <c r="G72" s="62" t="s">
        <v>33</v>
      </c>
      <c r="H72" s="83">
        <v>4</v>
      </c>
    </row>
    <row r="73" spans="1:8">
      <c r="A73" s="34"/>
      <c r="B73" s="125"/>
      <c r="C73" s="125"/>
      <c r="D73" s="601"/>
      <c r="E73" s="168" t="s">
        <v>1386</v>
      </c>
      <c r="F73" s="603">
        <v>4</v>
      </c>
      <c r="G73" s="32"/>
      <c r="H73" s="83"/>
    </row>
    <row r="74" spans="1:8">
      <c r="A74" s="34"/>
      <c r="B74" s="125"/>
      <c r="C74" s="125"/>
      <c r="D74" s="601"/>
      <c r="E74" s="193"/>
      <c r="F74" s="603"/>
      <c r="G74" s="32"/>
      <c r="H74" s="83"/>
    </row>
    <row r="75" spans="1:8" ht="25.5">
      <c r="A75" s="34">
        <f>MAX(A$1:A74)+1</f>
        <v>15</v>
      </c>
      <c r="B75" s="43"/>
      <c r="C75" s="195">
        <v>92022705</v>
      </c>
      <c r="D75" s="196"/>
      <c r="E75" s="38" t="s">
        <v>2784</v>
      </c>
      <c r="F75" s="39"/>
      <c r="G75" s="40" t="s">
        <v>33</v>
      </c>
      <c r="H75" s="64">
        <v>3</v>
      </c>
    </row>
    <row r="76" spans="1:8" ht="25.5">
      <c r="A76" s="72"/>
      <c r="B76" s="73"/>
      <c r="C76" s="198"/>
      <c r="D76" s="198">
        <v>9202270506</v>
      </c>
      <c r="E76" s="71" t="s">
        <v>2785</v>
      </c>
      <c r="F76" s="61"/>
      <c r="G76" s="62" t="s">
        <v>33</v>
      </c>
      <c r="H76" s="83">
        <v>3</v>
      </c>
    </row>
    <row r="77" spans="1:8">
      <c r="A77" s="34"/>
      <c r="B77" s="125"/>
      <c r="C77" s="125"/>
      <c r="D77" s="601"/>
      <c r="E77" s="168" t="s">
        <v>2919</v>
      </c>
      <c r="F77" s="603">
        <v>1</v>
      </c>
      <c r="G77" s="32"/>
      <c r="H77" s="83"/>
    </row>
    <row r="78" spans="1:8">
      <c r="A78" s="34"/>
      <c r="B78" s="125"/>
      <c r="C78" s="125"/>
      <c r="D78" s="601"/>
      <c r="E78" s="168" t="s">
        <v>2866</v>
      </c>
      <c r="F78" s="603">
        <v>1</v>
      </c>
      <c r="G78" s="32"/>
      <c r="H78" s="83"/>
    </row>
    <row r="79" spans="1:8">
      <c r="A79" s="34"/>
      <c r="B79" s="125"/>
      <c r="C79" s="125"/>
      <c r="D79" s="601"/>
      <c r="E79" s="168" t="s">
        <v>2787</v>
      </c>
      <c r="F79" s="705">
        <v>1</v>
      </c>
      <c r="G79" s="32"/>
      <c r="H79" s="83"/>
    </row>
    <row r="80" spans="1:8">
      <c r="A80" s="34"/>
      <c r="B80" s="125"/>
      <c r="C80" s="125"/>
      <c r="D80" s="601"/>
      <c r="E80" s="168" t="s">
        <v>1130</v>
      </c>
      <c r="F80" s="706">
        <f>SUM(F77:F79)</f>
        <v>3</v>
      </c>
      <c r="G80" s="32"/>
      <c r="H80" s="83"/>
    </row>
    <row r="81" spans="1:8">
      <c r="A81" s="34"/>
      <c r="B81" s="125"/>
      <c r="C81" s="125"/>
      <c r="D81" s="601"/>
      <c r="E81" s="193"/>
      <c r="F81" s="603"/>
      <c r="G81" s="32"/>
      <c r="H81" s="83"/>
    </row>
    <row r="82" spans="1:8" ht="25.5">
      <c r="A82" s="34">
        <f>MAX(A$1:A81)+1</f>
        <v>16</v>
      </c>
      <c r="B82" s="43"/>
      <c r="C82" s="195">
        <v>92022801</v>
      </c>
      <c r="D82" s="196"/>
      <c r="E82" s="38" t="s">
        <v>2867</v>
      </c>
      <c r="F82" s="39"/>
      <c r="G82" s="40" t="s">
        <v>36</v>
      </c>
      <c r="H82" s="64">
        <v>22</v>
      </c>
    </row>
    <row r="83" spans="1:8" ht="25.5">
      <c r="A83" s="72"/>
      <c r="B83" s="73"/>
      <c r="C83" s="198"/>
      <c r="D83" s="199">
        <v>9202280102</v>
      </c>
      <c r="E83" s="71" t="s">
        <v>3095</v>
      </c>
      <c r="F83" s="61"/>
      <c r="G83" s="62" t="s">
        <v>36</v>
      </c>
      <c r="H83" s="83">
        <v>20</v>
      </c>
    </row>
    <row r="84" spans="1:8">
      <c r="A84" s="34"/>
      <c r="B84" s="125"/>
      <c r="C84" s="125"/>
      <c r="D84" s="601"/>
      <c r="E84" s="168" t="s">
        <v>3096</v>
      </c>
      <c r="F84" s="603">
        <v>20</v>
      </c>
      <c r="G84" s="32"/>
      <c r="H84" s="83"/>
    </row>
    <row r="85" spans="1:8" ht="25.5">
      <c r="A85" s="72"/>
      <c r="B85" s="73"/>
      <c r="C85" s="198"/>
      <c r="D85" s="199">
        <v>9202280104</v>
      </c>
      <c r="E85" s="71" t="s">
        <v>2868</v>
      </c>
      <c r="F85" s="61"/>
      <c r="G85" s="62" t="s">
        <v>33</v>
      </c>
      <c r="H85" s="83">
        <v>2</v>
      </c>
    </row>
    <row r="86" spans="1:8">
      <c r="A86" s="34"/>
      <c r="B86" s="125"/>
      <c r="C86" s="125"/>
      <c r="D86" s="601"/>
      <c r="E86" s="168" t="s">
        <v>3097</v>
      </c>
      <c r="F86" s="603">
        <v>2</v>
      </c>
      <c r="G86" s="32"/>
      <c r="H86" s="83"/>
    </row>
    <row r="87" spans="1:8">
      <c r="A87" s="34"/>
      <c r="B87" s="125"/>
      <c r="C87" s="125"/>
      <c r="D87" s="601"/>
      <c r="E87" s="168"/>
      <c r="F87" s="603"/>
      <c r="G87" s="32"/>
      <c r="H87" s="83"/>
    </row>
    <row r="88" spans="1:8" ht="25.5">
      <c r="A88" s="34">
        <f>MAX(A$1:A87)+1</f>
        <v>17</v>
      </c>
      <c r="B88" s="43"/>
      <c r="C88" s="195">
        <v>92022902</v>
      </c>
      <c r="D88" s="196"/>
      <c r="E88" s="38" t="s">
        <v>3098</v>
      </c>
      <c r="F88" s="39"/>
      <c r="G88" s="40" t="s">
        <v>36</v>
      </c>
      <c r="H88" s="64">
        <v>16</v>
      </c>
    </row>
    <row r="89" spans="1:8" ht="25.5">
      <c r="A89" s="72"/>
      <c r="B89" s="73"/>
      <c r="C89" s="198"/>
      <c r="D89" s="199">
        <v>9202290202</v>
      </c>
      <c r="E89" s="71" t="s">
        <v>3099</v>
      </c>
      <c r="F89" s="61"/>
      <c r="G89" s="62" t="s">
        <v>36</v>
      </c>
      <c r="H89" s="83">
        <v>16</v>
      </c>
    </row>
    <row r="90" spans="1:8">
      <c r="A90" s="34"/>
      <c r="B90" s="125"/>
      <c r="C90" s="125"/>
      <c r="D90" s="601"/>
      <c r="E90" s="168" t="s">
        <v>3100</v>
      </c>
      <c r="F90" s="603">
        <v>16</v>
      </c>
      <c r="G90" s="32"/>
      <c r="H90" s="83"/>
    </row>
    <row r="91" spans="1:8" ht="15">
      <c r="A91" s="72"/>
      <c r="B91" s="73"/>
      <c r="C91" s="66"/>
      <c r="D91" s="67"/>
      <c r="E91" s="84"/>
      <c r="F91" s="90"/>
      <c r="G91" s="62"/>
      <c r="H91" s="99"/>
    </row>
    <row r="92" spans="1:8" ht="13.5" thickBot="1">
      <c r="A92" s="106"/>
      <c r="B92" s="107"/>
      <c r="C92" s="107"/>
      <c r="D92" s="107"/>
      <c r="E92" s="108"/>
      <c r="F92" s="109"/>
      <c r="G92" s="107"/>
      <c r="H92" s="110"/>
    </row>
  </sheetData>
  <sheetProtection algorithmName="SHA-512" hashValue="rHenvmtB9j2cZG9BudfcEYzhmCvj1fjBuCXN53UE959jwtvmwTlqHhYzMUkXmnlHEpkPrsKb7VmxS8Ewd0WmPw==" saltValue="BbESjZVzNaLVviH8Vs0fv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B7998-00D8-4706-A0D9-67C610A3FCB9}">
  <sheetPr codeName="Hárok56"/>
  <dimension ref="A1:H6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3117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3" t="s">
        <v>3</v>
      </c>
      <c r="B3" s="1344"/>
      <c r="C3" s="1344"/>
      <c r="D3" s="413"/>
      <c r="E3" s="1345" t="s">
        <v>4</v>
      </c>
      <c r="F3" s="1346"/>
      <c r="G3" s="1349" t="s">
        <v>5</v>
      </c>
      <c r="H3" s="1351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47"/>
      <c r="F4" s="1348"/>
      <c r="G4" s="1350"/>
      <c r="H4" s="1352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2847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15.75">
      <c r="A18" s="47"/>
      <c r="B18" s="24" t="s">
        <v>19</v>
      </c>
      <c r="C18" s="48"/>
      <c r="D18" s="49"/>
      <c r="E18" s="50" t="s">
        <v>20</v>
      </c>
      <c r="F18" s="1248"/>
      <c r="G18" s="1252"/>
      <c r="H18" s="42"/>
    </row>
    <row r="19" spans="1:8" ht="15.75">
      <c r="A19" s="47"/>
      <c r="B19" s="24"/>
      <c r="C19" s="48"/>
      <c r="D19" s="49"/>
      <c r="E19" s="50"/>
      <c r="F19" s="1248"/>
      <c r="G19" s="1252"/>
      <c r="H19" s="42"/>
    </row>
    <row r="20" spans="1:8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</v>
      </c>
    </row>
    <row r="21" spans="1:8" ht="38.25">
      <c r="A21" s="72"/>
      <c r="B21" s="73"/>
      <c r="C21" s="66"/>
      <c r="D21" s="67" t="s">
        <v>491</v>
      </c>
      <c r="E21" s="71" t="s">
        <v>492</v>
      </c>
      <c r="F21" s="61"/>
      <c r="G21" s="62" t="s">
        <v>33</v>
      </c>
      <c r="H21" s="83">
        <v>1</v>
      </c>
    </row>
    <row r="22" spans="1:8">
      <c r="A22" s="34"/>
      <c r="B22" s="125"/>
      <c r="C22" s="125"/>
      <c r="D22" s="601"/>
      <c r="E22" s="168" t="s">
        <v>2896</v>
      </c>
      <c r="F22" s="603">
        <v>1</v>
      </c>
      <c r="G22" s="3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</row>
    <row r="25" spans="1:8">
      <c r="A25" s="34"/>
      <c r="B25" s="125"/>
      <c r="C25" s="125"/>
      <c r="D25" s="601"/>
      <c r="E25" s="168"/>
      <c r="F25" s="603"/>
      <c r="G25" s="32"/>
      <c r="H25" s="83"/>
    </row>
    <row r="26" spans="1:8">
      <c r="A26" s="34">
        <f>MAX(A$1:A25)+1</f>
        <v>5</v>
      </c>
      <c r="B26" s="31"/>
      <c r="C26" s="36" t="s">
        <v>158</v>
      </c>
      <c r="D26" s="37"/>
      <c r="E26" s="38" t="s">
        <v>159</v>
      </c>
      <c r="F26" s="39"/>
      <c r="G26" s="40" t="s">
        <v>18</v>
      </c>
      <c r="H26" s="64">
        <v>1.37</v>
      </c>
    </row>
    <row r="27" spans="1:8">
      <c r="A27" s="34"/>
      <c r="B27" s="31"/>
      <c r="C27" s="31"/>
      <c r="D27" s="67" t="s">
        <v>160</v>
      </c>
      <c r="E27" s="71" t="s">
        <v>161</v>
      </c>
      <c r="F27" s="61"/>
      <c r="G27" s="62" t="s">
        <v>18</v>
      </c>
      <c r="H27" s="83">
        <v>1.37</v>
      </c>
    </row>
    <row r="28" spans="1:8">
      <c r="A28" s="34"/>
      <c r="B28" s="31"/>
      <c r="C28" s="31"/>
      <c r="D28" s="32"/>
      <c r="E28" s="168" t="s">
        <v>3118</v>
      </c>
      <c r="F28" s="170">
        <f>6*0.35*0.65</f>
        <v>1.3649999999999998</v>
      </c>
      <c r="G28" s="29"/>
      <c r="H28" s="30"/>
    </row>
    <row r="29" spans="1:8">
      <c r="A29" s="34"/>
      <c r="B29" s="125"/>
      <c r="C29" s="125"/>
      <c r="D29" s="601"/>
      <c r="E29" s="168"/>
      <c r="F29" s="603"/>
      <c r="G29" s="32"/>
      <c r="H29" s="83"/>
    </row>
    <row r="30" spans="1:8">
      <c r="A30" s="34">
        <f>MAX(A$1:A29)+1</f>
        <v>6</v>
      </c>
      <c r="B30" s="31"/>
      <c r="C30" s="36" t="s">
        <v>78</v>
      </c>
      <c r="D30" s="37"/>
      <c r="E30" s="38" t="s">
        <v>79</v>
      </c>
      <c r="F30" s="39"/>
      <c r="G30" s="40" t="s">
        <v>18</v>
      </c>
      <c r="H30" s="64">
        <v>1.37</v>
      </c>
    </row>
    <row r="31" spans="1:8">
      <c r="A31" s="34"/>
      <c r="B31" s="31"/>
      <c r="C31" s="31"/>
      <c r="D31" s="67" t="s">
        <v>80</v>
      </c>
      <c r="E31" s="71" t="s">
        <v>81</v>
      </c>
      <c r="F31" s="61"/>
      <c r="G31" s="62" t="s">
        <v>18</v>
      </c>
      <c r="H31" s="83">
        <v>1.37</v>
      </c>
    </row>
    <row r="32" spans="1:8">
      <c r="A32" s="34"/>
      <c r="B32" s="31"/>
      <c r="C32" s="31"/>
      <c r="D32" s="32"/>
      <c r="E32" s="168" t="s">
        <v>3118</v>
      </c>
      <c r="F32" s="170">
        <f>6*0.35*0.65</f>
        <v>1.3649999999999998</v>
      </c>
      <c r="G32" s="29"/>
      <c r="H32" s="30"/>
    </row>
    <row r="33" spans="1:8">
      <c r="A33" s="145"/>
      <c r="B33" s="31"/>
      <c r="C33" s="31"/>
      <c r="D33" s="32"/>
      <c r="E33" s="168"/>
      <c r="F33" s="172"/>
      <c r="G33" s="29"/>
      <c r="H33" s="30"/>
    </row>
    <row r="34" spans="1:8">
      <c r="A34" s="95"/>
      <c r="B34" s="35" t="s">
        <v>621</v>
      </c>
      <c r="C34" s="35"/>
      <c r="D34" s="94"/>
      <c r="E34" s="50" t="s">
        <v>622</v>
      </c>
      <c r="F34" s="100"/>
      <c r="G34" s="97"/>
      <c r="H34" s="42"/>
    </row>
    <row r="35" spans="1:8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92010207</v>
      </c>
      <c r="D36" s="196"/>
      <c r="E36" s="38" t="s">
        <v>2862</v>
      </c>
      <c r="F36" s="39"/>
      <c r="G36" s="40" t="s">
        <v>33</v>
      </c>
      <c r="H36" s="64">
        <v>2</v>
      </c>
    </row>
    <row r="37" spans="1:8" customFormat="1" ht="25.5">
      <c r="A37" s="1262"/>
      <c r="B37" s="73"/>
      <c r="C37" s="198"/>
      <c r="D37" s="199">
        <v>9201020702</v>
      </c>
      <c r="E37" s="71" t="s">
        <v>2863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3092</v>
      </c>
      <c r="F38" s="603">
        <v>1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3093</v>
      </c>
      <c r="F39" s="705">
        <v>1</v>
      </c>
      <c r="G39" s="32"/>
      <c r="H39" s="83"/>
    </row>
    <row r="40" spans="1:8" customFormat="1" ht="15">
      <c r="A40" s="34"/>
      <c r="B40" s="125"/>
      <c r="C40" s="125"/>
      <c r="D40" s="601"/>
      <c r="E40" s="168" t="s">
        <v>1130</v>
      </c>
      <c r="F40" s="706">
        <f>SUM(F37:F39)</f>
        <v>2</v>
      </c>
      <c r="G40" s="32"/>
      <c r="H40" s="83"/>
    </row>
    <row r="41" spans="1:8" customFormat="1" ht="15">
      <c r="A41" s="34"/>
      <c r="B41" s="125"/>
      <c r="C41" s="125"/>
      <c r="D41" s="601"/>
      <c r="E41" s="193"/>
      <c r="F41" s="603"/>
      <c r="G41" s="32"/>
      <c r="H41" s="83"/>
    </row>
    <row r="42" spans="1:8" customFormat="1" ht="25.5">
      <c r="A42" s="34">
        <f>MAX(A$1:A41)+1</f>
        <v>8</v>
      </c>
      <c r="B42" s="43"/>
      <c r="C42" s="195">
        <v>92020301</v>
      </c>
      <c r="D42" s="196"/>
      <c r="E42" s="38" t="s">
        <v>476</v>
      </c>
      <c r="F42" s="39"/>
      <c r="G42" s="40" t="s">
        <v>33</v>
      </c>
      <c r="H42" s="64">
        <v>2</v>
      </c>
    </row>
    <row r="43" spans="1:8" customFormat="1" ht="25.5">
      <c r="A43" s="72"/>
      <c r="B43" s="73"/>
      <c r="C43" s="198"/>
      <c r="D43" s="199">
        <v>9202030102</v>
      </c>
      <c r="E43" s="71" t="s">
        <v>490</v>
      </c>
      <c r="F43" s="61"/>
      <c r="G43" s="62" t="s">
        <v>33</v>
      </c>
      <c r="H43" s="83">
        <v>2</v>
      </c>
    </row>
    <row r="44" spans="1:8" customFormat="1" ht="15">
      <c r="A44" s="34"/>
      <c r="B44" s="125"/>
      <c r="C44" s="125"/>
      <c r="D44" s="601"/>
      <c r="E44" s="168" t="s">
        <v>3094</v>
      </c>
      <c r="F44" s="603">
        <v>2</v>
      </c>
      <c r="G44" s="32"/>
      <c r="H44" s="83"/>
    </row>
    <row r="45" spans="1:8" customFormat="1" ht="15">
      <c r="A45" s="34"/>
      <c r="B45" s="125"/>
      <c r="C45" s="125"/>
      <c r="D45" s="601"/>
      <c r="E45" s="193"/>
      <c r="F45" s="603"/>
      <c r="G45" s="32"/>
      <c r="H45" s="83"/>
    </row>
    <row r="46" spans="1:8" customFormat="1" ht="25.5">
      <c r="A46" s="34">
        <f>MAX(A$1:A45)+1</f>
        <v>9</v>
      </c>
      <c r="B46" s="43"/>
      <c r="C46" s="195">
        <v>92020702</v>
      </c>
      <c r="D46" s="196"/>
      <c r="E46" s="38" t="s">
        <v>718</v>
      </c>
      <c r="F46" s="39"/>
      <c r="G46" s="40" t="s">
        <v>33</v>
      </c>
      <c r="H46" s="64">
        <v>2</v>
      </c>
    </row>
    <row r="47" spans="1:8" customFormat="1" ht="25.5">
      <c r="A47" s="72"/>
      <c r="B47" s="73"/>
      <c r="C47" s="198"/>
      <c r="D47" s="199">
        <v>9202070202</v>
      </c>
      <c r="E47" s="71" t="s">
        <v>719</v>
      </c>
      <c r="F47" s="61"/>
      <c r="G47" s="62" t="s">
        <v>33</v>
      </c>
      <c r="H47" s="83">
        <v>2</v>
      </c>
    </row>
    <row r="48" spans="1:8" customFormat="1" ht="15">
      <c r="A48" s="34"/>
      <c r="B48" s="125"/>
      <c r="C48" s="125"/>
      <c r="D48" s="601"/>
      <c r="E48" s="168" t="s">
        <v>1386</v>
      </c>
      <c r="F48" s="603">
        <v>2</v>
      </c>
      <c r="G48" s="32"/>
      <c r="H48" s="83"/>
    </row>
    <row r="49" spans="1:8" customFormat="1" ht="15">
      <c r="A49" s="34"/>
      <c r="B49" s="125"/>
      <c r="C49" s="125"/>
      <c r="D49" s="601"/>
      <c r="E49" s="193"/>
      <c r="F49" s="603"/>
      <c r="G49" s="32"/>
      <c r="H49" s="83"/>
    </row>
    <row r="50" spans="1:8" customFormat="1" ht="25.5">
      <c r="A50" s="34">
        <f>MAX(A$1:A49)+1</f>
        <v>10</v>
      </c>
      <c r="B50" s="43"/>
      <c r="C50" s="195">
        <v>92022705</v>
      </c>
      <c r="D50" s="196"/>
      <c r="E50" s="38" t="s">
        <v>2784</v>
      </c>
      <c r="F50" s="39"/>
      <c r="G50" s="40" t="s">
        <v>33</v>
      </c>
      <c r="H50" s="64">
        <v>3</v>
      </c>
    </row>
    <row r="51" spans="1:8" customFormat="1" ht="25.5">
      <c r="A51" s="72"/>
      <c r="B51" s="73"/>
      <c r="C51" s="198"/>
      <c r="D51" s="198">
        <v>9202270506</v>
      </c>
      <c r="E51" s="71" t="s">
        <v>2785</v>
      </c>
      <c r="F51" s="61"/>
      <c r="G51" s="62" t="s">
        <v>33</v>
      </c>
      <c r="H51" s="83">
        <v>3</v>
      </c>
    </row>
    <row r="52" spans="1:8" customFormat="1" ht="15">
      <c r="A52" s="34"/>
      <c r="B52" s="125"/>
      <c r="C52" s="125"/>
      <c r="D52" s="601"/>
      <c r="E52" s="168" t="s">
        <v>2919</v>
      </c>
      <c r="F52" s="603">
        <v>1</v>
      </c>
      <c r="G52" s="32"/>
      <c r="H52" s="83"/>
    </row>
    <row r="53" spans="1:8" customFormat="1" ht="15">
      <c r="A53" s="34"/>
      <c r="B53" s="125"/>
      <c r="C53" s="125"/>
      <c r="D53" s="601"/>
      <c r="E53" s="168" t="s">
        <v>2866</v>
      </c>
      <c r="F53" s="603">
        <v>1</v>
      </c>
      <c r="G53" s="32"/>
      <c r="H53" s="83"/>
    </row>
    <row r="54" spans="1:8" customFormat="1" ht="15">
      <c r="A54" s="34"/>
      <c r="B54" s="125"/>
      <c r="C54" s="125"/>
      <c r="D54" s="601"/>
      <c r="E54" s="168" t="s">
        <v>2787</v>
      </c>
      <c r="F54" s="705">
        <v>1</v>
      </c>
      <c r="G54" s="32"/>
      <c r="H54" s="83"/>
    </row>
    <row r="55" spans="1:8">
      <c r="A55" s="34"/>
      <c r="B55" s="125"/>
      <c r="C55" s="125"/>
      <c r="D55" s="601"/>
      <c r="E55" s="168" t="s">
        <v>1130</v>
      </c>
      <c r="F55" s="706">
        <f>SUM(F52:F54)</f>
        <v>3</v>
      </c>
      <c r="G55" s="32"/>
      <c r="H55" s="83"/>
    </row>
    <row r="56" spans="1:8">
      <c r="A56" s="34"/>
      <c r="B56" s="125"/>
      <c r="C56" s="125"/>
      <c r="D56" s="601"/>
      <c r="E56" s="193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92022801</v>
      </c>
      <c r="D57" s="196"/>
      <c r="E57" s="38" t="s">
        <v>2867</v>
      </c>
      <c r="F57" s="39"/>
      <c r="G57" s="40" t="s">
        <v>36</v>
      </c>
      <c r="H57" s="64">
        <v>10</v>
      </c>
    </row>
    <row r="58" spans="1:8" ht="25.5">
      <c r="A58" s="72"/>
      <c r="B58" s="73"/>
      <c r="C58" s="198"/>
      <c r="D58" s="199">
        <v>9202280102</v>
      </c>
      <c r="E58" s="71" t="s">
        <v>3095</v>
      </c>
      <c r="F58" s="61"/>
      <c r="G58" s="62" t="s">
        <v>36</v>
      </c>
      <c r="H58" s="83">
        <v>8</v>
      </c>
    </row>
    <row r="59" spans="1:8">
      <c r="A59" s="34"/>
      <c r="B59" s="125"/>
      <c r="C59" s="125"/>
      <c r="D59" s="601"/>
      <c r="E59" s="168" t="s">
        <v>3096</v>
      </c>
      <c r="F59" s="603">
        <v>8</v>
      </c>
      <c r="G59" s="32"/>
      <c r="H59" s="83"/>
    </row>
    <row r="60" spans="1:8" ht="25.5">
      <c r="A60" s="72"/>
      <c r="B60" s="73"/>
      <c r="C60" s="198"/>
      <c r="D60" s="199">
        <v>9202280104</v>
      </c>
      <c r="E60" s="71" t="s">
        <v>2868</v>
      </c>
      <c r="F60" s="61"/>
      <c r="G60" s="62" t="s">
        <v>33</v>
      </c>
      <c r="H60" s="83">
        <v>2</v>
      </c>
    </row>
    <row r="61" spans="1:8">
      <c r="A61" s="34"/>
      <c r="B61" s="125"/>
      <c r="C61" s="125"/>
      <c r="D61" s="601"/>
      <c r="E61" s="168" t="s">
        <v>3097</v>
      </c>
      <c r="F61" s="603">
        <v>2</v>
      </c>
      <c r="G61" s="32"/>
      <c r="H61" s="83"/>
    </row>
    <row r="62" spans="1:8">
      <c r="A62" s="34"/>
      <c r="B62" s="125"/>
      <c r="C62" s="125"/>
      <c r="D62" s="601"/>
      <c r="E62" s="168"/>
      <c r="F62" s="603"/>
      <c r="G62" s="32"/>
      <c r="H62" s="83"/>
    </row>
    <row r="63" spans="1:8" ht="25.5">
      <c r="A63" s="34">
        <f>MAX(A$1:A62)+1</f>
        <v>12</v>
      </c>
      <c r="B63" s="43"/>
      <c r="C63" s="195">
        <v>92022902</v>
      </c>
      <c r="D63" s="196"/>
      <c r="E63" s="38" t="s">
        <v>3098</v>
      </c>
      <c r="F63" s="39"/>
      <c r="G63" s="40" t="s">
        <v>36</v>
      </c>
      <c r="H63" s="64">
        <v>16</v>
      </c>
    </row>
    <row r="64" spans="1:8" ht="25.5">
      <c r="A64" s="72"/>
      <c r="B64" s="73"/>
      <c r="C64" s="198"/>
      <c r="D64" s="199">
        <v>9202290202</v>
      </c>
      <c r="E64" s="71" t="s">
        <v>3099</v>
      </c>
      <c r="F64" s="61"/>
      <c r="G64" s="62" t="s">
        <v>36</v>
      </c>
      <c r="H64" s="83">
        <v>16</v>
      </c>
    </row>
    <row r="65" spans="1:8">
      <c r="A65" s="34"/>
      <c r="B65" s="125"/>
      <c r="C65" s="125"/>
      <c r="D65" s="601"/>
      <c r="E65" s="168" t="s">
        <v>3100</v>
      </c>
      <c r="F65" s="603">
        <v>16</v>
      </c>
      <c r="G65" s="32"/>
      <c r="H65" s="83"/>
    </row>
    <row r="66" spans="1:8">
      <c r="A66" s="34"/>
      <c r="B66" s="43"/>
      <c r="C66" s="195"/>
      <c r="D66" s="196"/>
      <c r="E66" s="38"/>
      <c r="F66" s="39"/>
      <c r="G66" s="40"/>
      <c r="H66" s="64"/>
    </row>
    <row r="67" spans="1:8" ht="15">
      <c r="A67" s="72"/>
      <c r="B67" s="73"/>
      <c r="C67" s="198"/>
      <c r="D67" s="199"/>
      <c r="E67" s="71"/>
      <c r="F67" s="61"/>
      <c r="G67" s="62"/>
      <c r="H67" s="83"/>
    </row>
    <row r="68" spans="1:8" ht="13.5" thickBot="1">
      <c r="A68" s="106"/>
      <c r="B68" s="107"/>
      <c r="C68" s="107"/>
      <c r="D68" s="107"/>
      <c r="E68" s="108"/>
      <c r="F68" s="109"/>
      <c r="G68" s="107"/>
      <c r="H68" s="110"/>
    </row>
  </sheetData>
  <sheetProtection algorithmName="SHA-512" hashValue="oopqjZgkd+kh/C2CK+Laxr1LLjjdTl+SItqIEozvgDhTo5AnECE20Yc5YxYYrxBCgtSQUsQqrfumDt1gzVbhTQ==" saltValue="o1r6XPD0g2csJnDmNJwiT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96F20-DACF-4DBC-A66C-201553D4C64A}">
  <sheetPr codeName="Hárok57"/>
  <dimension ref="A1:U60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9">
      <c r="A1" s="2" t="s">
        <v>1</v>
      </c>
      <c r="B1" s="2"/>
      <c r="C1" s="3"/>
      <c r="D1" s="4"/>
      <c r="E1" s="5" t="s">
        <v>3120</v>
      </c>
      <c r="G1" s="7"/>
      <c r="H1" s="8"/>
    </row>
    <row r="2" spans="1:9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9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9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9">
      <c r="A5" s="16"/>
      <c r="B5" s="17"/>
      <c r="C5" s="17"/>
      <c r="D5" s="18"/>
      <c r="E5" s="19"/>
      <c r="F5" s="20"/>
      <c r="G5" s="21"/>
      <c r="H5" s="22"/>
    </row>
    <row r="6" spans="1:9" ht="51">
      <c r="A6" s="23"/>
      <c r="B6" s="31"/>
      <c r="C6" s="31"/>
      <c r="D6" s="32"/>
      <c r="E6" s="1263" t="s">
        <v>3121</v>
      </c>
      <c r="F6" s="28"/>
      <c r="G6" s="29"/>
      <c r="H6" s="30"/>
    </row>
    <row r="7" spans="1:9">
      <c r="A7" s="23"/>
      <c r="B7" s="31"/>
      <c r="C7" s="31"/>
      <c r="D7" s="32"/>
      <c r="E7" s="33"/>
      <c r="F7" s="28"/>
      <c r="G7" s="29"/>
      <c r="H7" s="30"/>
    </row>
    <row r="8" spans="1:9">
      <c r="A8" s="1262"/>
      <c r="B8" s="35" t="s">
        <v>87</v>
      </c>
      <c r="C8" s="93"/>
      <c r="D8" s="94"/>
      <c r="E8" s="50" t="s">
        <v>88</v>
      </c>
      <c r="F8" s="137"/>
      <c r="G8" s="40"/>
      <c r="H8" s="42"/>
    </row>
    <row r="9" spans="1:9">
      <c r="A9" s="55"/>
      <c r="B9" s="1264"/>
      <c r="C9" s="1265"/>
      <c r="D9" s="1266"/>
      <c r="E9" s="1267"/>
      <c r="F9" s="1268"/>
      <c r="G9" s="1269"/>
      <c r="H9" s="57"/>
    </row>
    <row r="10" spans="1:9" ht="25.5">
      <c r="A10" s="1270">
        <f>MAX(A$1:A9)+1</f>
        <v>1</v>
      </c>
      <c r="B10" s="45"/>
      <c r="C10" s="36" t="s">
        <v>3122</v>
      </c>
      <c r="D10" s="37"/>
      <c r="E10" s="38" t="s">
        <v>3123</v>
      </c>
      <c r="F10" s="39"/>
      <c r="G10" s="40" t="s">
        <v>21</v>
      </c>
      <c r="H10" s="59">
        <v>7.88</v>
      </c>
    </row>
    <row r="11" spans="1:9" ht="25.5">
      <c r="A11" s="60"/>
      <c r="B11" s="45"/>
      <c r="C11" s="66"/>
      <c r="D11" s="67" t="s">
        <v>3124</v>
      </c>
      <c r="E11" s="71" t="s">
        <v>3125</v>
      </c>
      <c r="F11" s="61"/>
      <c r="G11" s="62" t="s">
        <v>21</v>
      </c>
      <c r="H11" s="63">
        <v>7.88</v>
      </c>
    </row>
    <row r="12" spans="1:9" ht="25.5">
      <c r="A12" s="60"/>
      <c r="B12" s="45"/>
      <c r="C12" s="66"/>
      <c r="D12" s="67"/>
      <c r="E12" s="1271" t="s">
        <v>3126</v>
      </c>
      <c r="F12" s="61"/>
      <c r="G12" s="62"/>
      <c r="H12" s="59"/>
    </row>
    <row r="13" spans="1:9">
      <c r="A13" s="60"/>
      <c r="B13" s="45"/>
      <c r="C13" s="66"/>
      <c r="D13" s="67"/>
      <c r="E13" s="1271" t="s">
        <v>3127</v>
      </c>
      <c r="F13" s="46">
        <f>0.75*0.75*14</f>
        <v>7.875</v>
      </c>
      <c r="G13" s="62"/>
      <c r="H13" s="59"/>
    </row>
    <row r="14" spans="1:9">
      <c r="A14" s="60"/>
      <c r="B14" s="45"/>
      <c r="C14" s="82"/>
      <c r="D14" s="85"/>
      <c r="E14" s="1272"/>
      <c r="F14" s="1273"/>
      <c r="G14" s="88"/>
      <c r="H14" s="59"/>
    </row>
    <row r="15" spans="1:9" ht="25.5">
      <c r="A15" s="1270">
        <f>MAX(A$1:A14)+1</f>
        <v>2</v>
      </c>
      <c r="B15" s="45"/>
      <c r="C15" s="36" t="s">
        <v>3128</v>
      </c>
      <c r="D15" s="37"/>
      <c r="E15" s="38" t="s">
        <v>3129</v>
      </c>
      <c r="F15" s="39"/>
      <c r="G15" s="40" t="s">
        <v>21</v>
      </c>
      <c r="H15" s="59">
        <v>10.5</v>
      </c>
      <c r="I15" s="115"/>
    </row>
    <row r="16" spans="1:9" ht="25.5">
      <c r="A16" s="60"/>
      <c r="B16" s="45"/>
      <c r="C16" s="82"/>
      <c r="D16" s="67" t="s">
        <v>3130</v>
      </c>
      <c r="E16" s="71" t="s">
        <v>3131</v>
      </c>
      <c r="F16" s="61"/>
      <c r="G16" s="62" t="s">
        <v>21</v>
      </c>
      <c r="H16" s="63">
        <v>10.5</v>
      </c>
    </row>
    <row r="17" spans="1:8">
      <c r="A17" s="1274"/>
      <c r="B17" s="45"/>
      <c r="C17" s="82"/>
      <c r="D17" s="85"/>
      <c r="E17" s="86" t="s">
        <v>3132</v>
      </c>
      <c r="F17" s="1275"/>
      <c r="G17" s="1276"/>
      <c r="H17" s="63"/>
    </row>
    <row r="18" spans="1:8">
      <c r="A18" s="1277"/>
      <c r="B18" s="89"/>
      <c r="C18" s="1278"/>
      <c r="D18" s="1279"/>
      <c r="E18" s="86" t="s">
        <v>3133</v>
      </c>
      <c r="F18" s="87">
        <f>0.25*14</f>
        <v>3.5</v>
      </c>
      <c r="G18" s="1280"/>
      <c r="H18" s="1281"/>
    </row>
    <row r="19" spans="1:8">
      <c r="A19" s="60"/>
      <c r="B19" s="45"/>
      <c r="C19" s="82"/>
      <c r="D19" s="85"/>
      <c r="E19" s="1272"/>
      <c r="F19" s="102"/>
      <c r="G19" s="88"/>
      <c r="H19" s="59"/>
    </row>
    <row r="20" spans="1:8" ht="25.5">
      <c r="A20" s="1277"/>
      <c r="B20" s="89"/>
      <c r="C20" s="1278"/>
      <c r="D20" s="1279"/>
      <c r="E20" s="86" t="s">
        <v>3134</v>
      </c>
      <c r="F20" s="1282"/>
      <c r="G20" s="1280"/>
      <c r="H20" s="1281"/>
    </row>
    <row r="21" spans="1:8">
      <c r="A21" s="60"/>
      <c r="B21" s="45"/>
      <c r="C21" s="82"/>
      <c r="D21" s="85"/>
      <c r="E21" s="86" t="s">
        <v>3135</v>
      </c>
      <c r="F21" s="87">
        <f>0.25*14</f>
        <v>3.5</v>
      </c>
      <c r="G21" s="88"/>
      <c r="H21" s="59"/>
    </row>
    <row r="22" spans="1:8">
      <c r="A22" s="1277"/>
      <c r="B22" s="1283"/>
      <c r="C22" s="1284"/>
      <c r="D22" s="1285"/>
      <c r="E22" s="1286"/>
      <c r="F22" s="1286"/>
      <c r="G22" s="1287"/>
      <c r="H22" s="1288"/>
    </row>
    <row r="23" spans="1:8">
      <c r="A23" s="1277"/>
      <c r="B23" s="1283"/>
      <c r="C23" s="1284"/>
      <c r="D23" s="1285"/>
      <c r="E23" s="86" t="s">
        <v>3136</v>
      </c>
      <c r="F23" s="1282"/>
      <c r="G23" s="1287"/>
      <c r="H23" s="1281"/>
    </row>
    <row r="24" spans="1:8">
      <c r="A24" s="1277"/>
      <c r="B24" s="89"/>
      <c r="C24" s="1278"/>
      <c r="D24" s="1279"/>
      <c r="E24" s="86" t="s">
        <v>3137</v>
      </c>
      <c r="F24" s="87">
        <f>0.25*14</f>
        <v>3.5</v>
      </c>
      <c r="G24" s="1280"/>
      <c r="H24" s="1281"/>
    </row>
    <row r="25" spans="1:8">
      <c r="A25" s="1277"/>
      <c r="B25" s="1283"/>
      <c r="C25" s="1284"/>
      <c r="D25" s="1285"/>
      <c r="E25" s="1289" t="s">
        <v>41</v>
      </c>
      <c r="F25" s="1290">
        <f>F18+F21+F24</f>
        <v>10.5</v>
      </c>
      <c r="G25" s="1287"/>
      <c r="H25" s="1281"/>
    </row>
    <row r="26" spans="1:8">
      <c r="A26" s="60"/>
      <c r="B26" s="45"/>
      <c r="C26" s="82"/>
      <c r="D26" s="85"/>
      <c r="E26" s="1272"/>
      <c r="F26" s="1291"/>
      <c r="G26" s="88"/>
      <c r="H26" s="59"/>
    </row>
    <row r="27" spans="1:8" ht="25.5">
      <c r="A27" s="1270">
        <f>MAX(A$1:A26)+1</f>
        <v>3</v>
      </c>
      <c r="B27" s="45"/>
      <c r="C27" s="36" t="s">
        <v>3138</v>
      </c>
      <c r="D27" s="37"/>
      <c r="E27" s="38" t="s">
        <v>3139</v>
      </c>
      <c r="F27" s="39"/>
      <c r="G27" s="40" t="s">
        <v>33</v>
      </c>
      <c r="H27" s="59">
        <v>14</v>
      </c>
    </row>
    <row r="28" spans="1:8" ht="25.5">
      <c r="A28" s="55"/>
      <c r="B28" s="45"/>
      <c r="C28" s="66"/>
      <c r="D28" s="67" t="s">
        <v>3140</v>
      </c>
      <c r="E28" s="71" t="s">
        <v>3141</v>
      </c>
      <c r="F28" s="61"/>
      <c r="G28" s="62" t="s">
        <v>33</v>
      </c>
      <c r="H28" s="63">
        <v>14</v>
      </c>
    </row>
    <row r="29" spans="1:8">
      <c r="A29" s="55"/>
      <c r="B29" s="45"/>
      <c r="C29" s="82"/>
      <c r="D29" s="85"/>
      <c r="E29" s="86" t="s">
        <v>3142</v>
      </c>
      <c r="F29" s="102">
        <v>14</v>
      </c>
      <c r="G29" s="88"/>
      <c r="H29" s="59"/>
    </row>
    <row r="30" spans="1:8">
      <c r="A30" s="55"/>
      <c r="B30" s="45"/>
      <c r="C30" s="82"/>
      <c r="D30" s="85"/>
      <c r="E30" s="1272"/>
      <c r="F30" s="102"/>
      <c r="G30" s="88"/>
      <c r="H30" s="59"/>
    </row>
    <row r="31" spans="1:8" ht="25.5">
      <c r="A31" s="1270">
        <f>MAX(A$1:A30)+1</f>
        <v>4</v>
      </c>
      <c r="B31" s="45"/>
      <c r="C31" s="36" t="s">
        <v>3143</v>
      </c>
      <c r="D31" s="37"/>
      <c r="E31" s="38" t="s">
        <v>3144</v>
      </c>
      <c r="F31" s="39"/>
      <c r="G31" s="40" t="s">
        <v>33</v>
      </c>
      <c r="H31" s="59">
        <v>210</v>
      </c>
    </row>
    <row r="32" spans="1:8" ht="25.5">
      <c r="A32" s="55"/>
      <c r="B32" s="45"/>
      <c r="C32" s="66"/>
      <c r="D32" s="67" t="s">
        <v>3145</v>
      </c>
      <c r="E32" s="71" t="s">
        <v>3146</v>
      </c>
      <c r="F32" s="61"/>
      <c r="G32" s="62" t="s">
        <v>33</v>
      </c>
      <c r="H32" s="63">
        <v>210</v>
      </c>
    </row>
    <row r="33" spans="1:8">
      <c r="A33" s="55"/>
      <c r="B33" s="45"/>
      <c r="C33" s="82"/>
      <c r="D33" s="85"/>
      <c r="E33" s="86" t="s">
        <v>3147</v>
      </c>
      <c r="F33" s="102"/>
      <c r="G33" s="88"/>
      <c r="H33" s="59"/>
    </row>
    <row r="34" spans="1:8">
      <c r="A34" s="55"/>
      <c r="B34" s="45"/>
      <c r="C34" s="82"/>
      <c r="D34" s="85"/>
      <c r="E34" s="86" t="s">
        <v>3148</v>
      </c>
      <c r="F34" s="87">
        <f>14*11</f>
        <v>154</v>
      </c>
      <c r="G34" s="88"/>
      <c r="H34" s="59"/>
    </row>
    <row r="35" spans="1:8">
      <c r="A35" s="55"/>
      <c r="B35" s="45"/>
      <c r="C35" s="82"/>
      <c r="D35" s="85"/>
      <c r="E35" s="1292"/>
      <c r="F35" s="102"/>
      <c r="G35" s="88"/>
      <c r="H35" s="59"/>
    </row>
    <row r="36" spans="1:8" ht="63.75">
      <c r="A36" s="55"/>
      <c r="B36" s="45"/>
      <c r="C36" s="82"/>
      <c r="D36" s="85"/>
      <c r="E36" s="86" t="s">
        <v>3149</v>
      </c>
      <c r="F36" s="102"/>
      <c r="G36" s="88"/>
      <c r="H36" s="59"/>
    </row>
    <row r="37" spans="1:8" ht="25.5">
      <c r="A37" s="55"/>
      <c r="B37" s="45"/>
      <c r="C37" s="82"/>
      <c r="D37" s="85"/>
      <c r="E37" s="86" t="s">
        <v>3150</v>
      </c>
      <c r="F37" s="102">
        <f>14*4</f>
        <v>56</v>
      </c>
      <c r="G37" s="88"/>
      <c r="H37" s="59"/>
    </row>
    <row r="38" spans="1:8">
      <c r="A38" s="55"/>
      <c r="B38" s="45"/>
      <c r="C38" s="82"/>
      <c r="D38" s="85"/>
      <c r="E38" s="1293" t="s">
        <v>41</v>
      </c>
      <c r="F38" s="1294">
        <f>F34+F37</f>
        <v>210</v>
      </c>
      <c r="G38" s="88"/>
      <c r="H38" s="59"/>
    </row>
    <row r="39" spans="1:8">
      <c r="A39" s="55"/>
      <c r="B39" s="45"/>
      <c r="C39" s="82"/>
      <c r="D39" s="85"/>
      <c r="E39" s="1293"/>
      <c r="F39" s="1294"/>
      <c r="G39" s="88"/>
      <c r="H39" s="59"/>
    </row>
    <row r="40" spans="1:8" ht="25.5">
      <c r="A40" s="34">
        <f>MAX(A$1:A38)+1</f>
        <v>5</v>
      </c>
      <c r="B40" s="1295"/>
      <c r="C40" s="36" t="s">
        <v>3151</v>
      </c>
      <c r="D40" s="37"/>
      <c r="E40" s="38" t="s">
        <v>3152</v>
      </c>
      <c r="F40" s="39"/>
      <c r="G40" s="40" t="s">
        <v>33</v>
      </c>
      <c r="H40" s="1296">
        <v>14</v>
      </c>
    </row>
    <row r="41" spans="1:8" ht="25.5">
      <c r="A41" s="1297"/>
      <c r="B41" s="1298"/>
      <c r="C41" s="66"/>
      <c r="D41" s="67" t="s">
        <v>3153</v>
      </c>
      <c r="E41" s="71" t="s">
        <v>3154</v>
      </c>
      <c r="F41" s="61"/>
      <c r="G41" s="62" t="s">
        <v>33</v>
      </c>
      <c r="H41" s="1299">
        <v>14</v>
      </c>
    </row>
    <row r="42" spans="1:8" ht="76.5">
      <c r="A42" s="55"/>
      <c r="B42" s="45"/>
      <c r="C42" s="82"/>
      <c r="D42" s="85"/>
      <c r="E42" s="1271" t="s">
        <v>3155</v>
      </c>
      <c r="F42" s="1294"/>
      <c r="G42" s="88"/>
      <c r="H42" s="59"/>
    </row>
    <row r="43" spans="1:8">
      <c r="A43" s="55"/>
      <c r="B43" s="45"/>
      <c r="C43" s="82"/>
      <c r="D43" s="85"/>
      <c r="E43" s="86" t="s">
        <v>3142</v>
      </c>
      <c r="F43" s="102">
        <v>14</v>
      </c>
      <c r="G43" s="88"/>
      <c r="H43" s="59"/>
    </row>
    <row r="44" spans="1:8">
      <c r="A44" s="55"/>
      <c r="B44" s="45"/>
      <c r="C44" s="82"/>
      <c r="D44" s="85"/>
      <c r="E44" s="1293"/>
      <c r="F44" s="1294"/>
      <c r="G44" s="88"/>
      <c r="H44" s="59"/>
    </row>
    <row r="45" spans="1:8">
      <c r="A45" s="1262"/>
      <c r="B45" s="35" t="s">
        <v>54</v>
      </c>
      <c r="C45" s="93"/>
      <c r="D45" s="94"/>
      <c r="E45" s="50" t="s">
        <v>55</v>
      </c>
      <c r="F45" s="137"/>
      <c r="G45" s="40"/>
      <c r="H45" s="83"/>
    </row>
    <row r="46" spans="1:8">
      <c r="A46" s="1262"/>
      <c r="B46" s="126"/>
      <c r="C46" s="139"/>
      <c r="D46" s="37"/>
      <c r="E46" s="38"/>
      <c r="F46" s="137"/>
      <c r="G46" s="40"/>
      <c r="H46" s="83"/>
    </row>
    <row r="47" spans="1:8" ht="25.5">
      <c r="A47" s="1270">
        <f>MAX(A$1:A46)+1</f>
        <v>6</v>
      </c>
      <c r="B47" s="45"/>
      <c r="C47" s="36" t="s">
        <v>3156</v>
      </c>
      <c r="D47" s="37"/>
      <c r="E47" s="38" t="s">
        <v>3157</v>
      </c>
      <c r="F47" s="39"/>
      <c r="G47" s="40" t="s">
        <v>33</v>
      </c>
      <c r="H47" s="59">
        <v>14</v>
      </c>
    </row>
    <row r="48" spans="1:8" ht="25.5">
      <c r="A48" s="55"/>
      <c r="B48" s="45"/>
      <c r="C48" s="82"/>
      <c r="D48" s="67" t="s">
        <v>3158</v>
      </c>
      <c r="E48" s="71" t="s">
        <v>3159</v>
      </c>
      <c r="F48" s="61"/>
      <c r="G48" s="62" t="s">
        <v>33</v>
      </c>
      <c r="H48" s="63">
        <v>14</v>
      </c>
    </row>
    <row r="49" spans="1:21" ht="26.25">
      <c r="A49" s="55"/>
      <c r="B49" s="45"/>
      <c r="C49" s="82"/>
      <c r="D49" s="85"/>
      <c r="E49" s="76" t="s">
        <v>3160</v>
      </c>
      <c r="F49" s="90">
        <v>14</v>
      </c>
      <c r="G49" s="88"/>
      <c r="H49" s="59"/>
    </row>
    <row r="50" spans="1:21">
      <c r="A50" s="55"/>
      <c r="B50" s="45"/>
      <c r="C50" s="82"/>
      <c r="D50" s="85"/>
      <c r="E50" s="1272"/>
      <c r="F50" s="102"/>
      <c r="G50" s="88"/>
      <c r="H50" s="59"/>
    </row>
    <row r="51" spans="1:21">
      <c r="A51" s="55"/>
      <c r="B51" s="35" t="s">
        <v>56</v>
      </c>
      <c r="C51" s="93"/>
      <c r="D51" s="94"/>
      <c r="E51" s="96" t="s">
        <v>57</v>
      </c>
      <c r="F51" s="90"/>
      <c r="G51" s="88"/>
      <c r="H51" s="59"/>
    </row>
    <row r="52" spans="1:21">
      <c r="A52" s="55"/>
      <c r="B52" s="126"/>
      <c r="C52" s="139"/>
      <c r="D52" s="37"/>
      <c r="E52" s="1300"/>
      <c r="F52" s="102"/>
      <c r="G52" s="88"/>
      <c r="H52" s="59"/>
    </row>
    <row r="53" spans="1:21">
      <c r="A53" s="1270">
        <f>MAX(A$1:A52)+1</f>
        <v>7</v>
      </c>
      <c r="B53" s="45"/>
      <c r="C53" s="36" t="s">
        <v>50</v>
      </c>
      <c r="D53" s="37"/>
      <c r="E53" s="38" t="s">
        <v>51</v>
      </c>
      <c r="F53" s="39"/>
      <c r="G53" s="40" t="s">
        <v>18</v>
      </c>
      <c r="H53" s="59">
        <v>0.28000000000000003</v>
      </c>
      <c r="I53" s="120"/>
    </row>
    <row r="54" spans="1:21" ht="25.5">
      <c r="A54" s="55"/>
      <c r="B54" s="45"/>
      <c r="C54" s="66"/>
      <c r="D54" s="67" t="s">
        <v>138</v>
      </c>
      <c r="E54" s="71" t="s">
        <v>139</v>
      </c>
      <c r="F54" s="61"/>
      <c r="G54" s="62" t="s">
        <v>18</v>
      </c>
      <c r="H54" s="63">
        <v>0.28000000000000003</v>
      </c>
    </row>
    <row r="55" spans="1:21" ht="25.5">
      <c r="A55" s="55"/>
      <c r="B55" s="45"/>
      <c r="C55" s="82"/>
      <c r="D55" s="85"/>
      <c r="E55" s="121" t="s">
        <v>3161</v>
      </c>
      <c r="F55" s="81"/>
      <c r="G55" s="88"/>
      <c r="H55" s="57"/>
    </row>
    <row r="56" spans="1:21">
      <c r="A56" s="55"/>
      <c r="B56" s="45"/>
      <c r="C56" s="82"/>
      <c r="D56" s="85"/>
      <c r="E56" s="77" t="s">
        <v>3162</v>
      </c>
      <c r="F56" s="81">
        <f>0.02*14</f>
        <v>0.28000000000000003</v>
      </c>
      <c r="G56" s="88"/>
      <c r="H56" s="57"/>
    </row>
    <row r="57" spans="1:21">
      <c r="A57" s="268"/>
      <c r="B57" s="31"/>
      <c r="C57" s="66"/>
      <c r="D57" s="67"/>
      <c r="E57" s="71"/>
      <c r="F57" s="61"/>
      <c r="G57" s="62"/>
      <c r="H57" s="124"/>
    </row>
    <row r="58" spans="1:21">
      <c r="A58" s="34"/>
      <c r="B58" s="31"/>
      <c r="C58" s="36"/>
      <c r="D58" s="37"/>
      <c r="E58" s="38"/>
      <c r="F58" s="39"/>
      <c r="G58" s="40"/>
      <c r="H58" s="128"/>
    </row>
    <row r="59" spans="1:21" ht="15.75" thickBot="1">
      <c r="A59" s="106"/>
      <c r="B59" s="107"/>
      <c r="C59" s="107"/>
      <c r="D59" s="107"/>
      <c r="E59" s="108"/>
      <c r="F59" s="109"/>
      <c r="G59" s="107"/>
      <c r="H59" s="110"/>
    </row>
    <row r="60" spans="1:21">
      <c r="E60" s="6"/>
      <c r="F60" s="112"/>
      <c r="H60" s="8"/>
      <c r="Q60" s="223"/>
      <c r="U60" s="223"/>
    </row>
  </sheetData>
  <sheetProtection algorithmName="SHA-512" hashValue="6QGaQGkTouycq9Hc9viHvvXF5pTnn3Ffe638yujkg/7WJGHcOh1+10s/kSlCfPrZ+RXY9mdZvSZQ9V7TqKOSTw==" saltValue="DZ45Pc9enOHOol9d1WptC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C52E6-BB9A-4C65-A03E-285588D12CC8}">
  <sheetPr codeName="Hárok5"/>
  <dimension ref="A1:X27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3" max="13" width="11.85546875" customWidth="1"/>
    <col min="17" max="17" width="9.85546875" bestFit="1" customWidth="1"/>
    <col min="21" max="21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5" t="s">
        <v>1390</v>
      </c>
      <c r="G1" s="7"/>
      <c r="H1" s="8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24">
      <c r="A5" s="16"/>
      <c r="B5" s="17"/>
      <c r="C5" s="17"/>
      <c r="D5" s="18"/>
      <c r="E5" s="19"/>
      <c r="F5" s="20"/>
      <c r="G5" s="21"/>
      <c r="H5" s="22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</row>
    <row r="10" spans="1:24">
      <c r="A10" s="268"/>
      <c r="B10" s="24"/>
      <c r="C10" s="25"/>
      <c r="D10" s="26"/>
      <c r="E10" s="316" t="s">
        <v>1095</v>
      </c>
      <c r="F10" s="136"/>
      <c r="G10" s="29"/>
      <c r="H10" s="30"/>
    </row>
    <row r="11" spans="1:24">
      <c r="A11" s="268"/>
      <c r="B11" s="24"/>
      <c r="C11" s="25"/>
      <c r="D11" s="26"/>
      <c r="E11" s="76" t="s">
        <v>1391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1392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1393</v>
      </c>
      <c r="F13" s="136"/>
      <c r="G13" s="29"/>
      <c r="H13" s="30"/>
      <c r="L13" s="120"/>
      <c r="X13" s="12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76" t="s">
        <v>909</v>
      </c>
      <c r="F15" s="136"/>
      <c r="G15" s="29"/>
      <c r="H15" s="30"/>
    </row>
    <row r="16" spans="1:24">
      <c r="A16" s="268"/>
      <c r="B16" s="24"/>
      <c r="C16" s="25"/>
      <c r="D16" s="26"/>
      <c r="E16" s="316" t="s">
        <v>1095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1394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/>
      <c r="F18" s="136"/>
      <c r="G18" s="29"/>
      <c r="H18" s="30"/>
      <c r="L18" s="120"/>
      <c r="X18" s="120"/>
    </row>
    <row r="19" spans="1:24" ht="26.25">
      <c r="A19" s="268"/>
      <c r="B19" s="24"/>
      <c r="C19" s="25"/>
      <c r="D19" s="26"/>
      <c r="E19" s="76" t="s">
        <v>1395</v>
      </c>
      <c r="F19" s="136"/>
      <c r="G19" s="29"/>
      <c r="H19" s="30"/>
    </row>
    <row r="20" spans="1:24">
      <c r="A20" s="268"/>
      <c r="B20" s="24"/>
      <c r="C20" s="25"/>
      <c r="D20" s="26"/>
      <c r="E20" s="76"/>
      <c r="F20" s="136"/>
      <c r="G20" s="29"/>
      <c r="H20" s="30"/>
    </row>
    <row r="21" spans="1:24" ht="25.5">
      <c r="A21" s="34">
        <f>MAX(A$1:A20)+1</f>
        <v>2</v>
      </c>
      <c r="B21" s="24"/>
      <c r="C21" s="36" t="s">
        <v>13</v>
      </c>
      <c r="D21" s="37"/>
      <c r="E21" s="38" t="s">
        <v>14</v>
      </c>
      <c r="F21" s="39"/>
      <c r="G21" s="40" t="s">
        <v>15</v>
      </c>
      <c r="H21" s="128">
        <v>123.49</v>
      </c>
    </row>
    <row r="22" spans="1:24">
      <c r="A22" s="268"/>
      <c r="B22" s="24"/>
      <c r="C22" s="25"/>
      <c r="D22" s="26"/>
      <c r="E22" s="76"/>
      <c r="F22" s="136">
        <f>F84</f>
        <v>123.488</v>
      </c>
      <c r="G22" s="29"/>
      <c r="H22" s="30"/>
    </row>
    <row r="23" spans="1:24">
      <c r="A23" s="268"/>
      <c r="B23" s="24"/>
      <c r="C23" s="25"/>
      <c r="D23" s="26"/>
      <c r="E23" s="76"/>
      <c r="F23" s="136"/>
      <c r="G23" s="29"/>
      <c r="H23" s="30"/>
    </row>
    <row r="24" spans="1:24">
      <c r="A24" s="34">
        <f>MAX(A$1:A23)+1</f>
        <v>3</v>
      </c>
      <c r="B24" s="24"/>
      <c r="C24" s="36" t="s">
        <v>228</v>
      </c>
      <c r="D24" s="37"/>
      <c r="E24" s="38" t="s">
        <v>229</v>
      </c>
      <c r="F24" s="39"/>
      <c r="G24" s="40" t="s">
        <v>18</v>
      </c>
      <c r="H24" s="128">
        <v>1.8</v>
      </c>
    </row>
    <row r="25" spans="1:24">
      <c r="A25" s="268"/>
      <c r="B25" s="24"/>
      <c r="C25" s="25"/>
      <c r="D25" s="26"/>
      <c r="E25" s="76"/>
      <c r="F25" s="136">
        <f>F142</f>
        <v>1.8</v>
      </c>
      <c r="G25" s="29"/>
      <c r="H25" s="30"/>
    </row>
    <row r="26" spans="1:24">
      <c r="A26" s="145"/>
      <c r="B26" s="31"/>
      <c r="C26" s="36"/>
      <c r="D26" s="37"/>
      <c r="E26" s="38"/>
      <c r="F26" s="46"/>
      <c r="G26" s="40"/>
      <c r="H26" s="30"/>
    </row>
    <row r="27" spans="1:24" ht="25.5">
      <c r="A27" s="34">
        <f>MAX(A$1:A26)+1</f>
        <v>4</v>
      </c>
      <c r="B27" s="35"/>
      <c r="C27" s="36" t="s">
        <v>16</v>
      </c>
      <c r="D27" s="37"/>
      <c r="E27" s="38" t="s">
        <v>17</v>
      </c>
      <c r="F27" s="39"/>
      <c r="G27" s="40" t="s">
        <v>18</v>
      </c>
      <c r="H27" s="128">
        <v>1.6500000000000001</v>
      </c>
    </row>
    <row r="28" spans="1:24">
      <c r="A28" s="34"/>
      <c r="B28" s="35"/>
      <c r="C28" s="36"/>
      <c r="D28" s="37"/>
      <c r="E28" s="65" t="s">
        <v>852</v>
      </c>
      <c r="F28" s="90">
        <f>F110</f>
        <v>1.6500000000000001</v>
      </c>
      <c r="G28" s="40"/>
      <c r="H28" s="30"/>
    </row>
    <row r="29" spans="1:24">
      <c r="A29" s="145"/>
      <c r="B29" s="35"/>
      <c r="C29" s="36"/>
      <c r="D29" s="37"/>
      <c r="E29" s="65"/>
      <c r="F29" s="90"/>
      <c r="G29" s="40"/>
      <c r="H29" s="30"/>
    </row>
    <row r="30" spans="1:24" ht="15.75">
      <c r="A30" s="145"/>
      <c r="B30" s="24" t="s">
        <v>19</v>
      </c>
      <c r="C30" s="48"/>
      <c r="D30" s="49"/>
      <c r="E30" s="50" t="s">
        <v>20</v>
      </c>
      <c r="F30" s="90"/>
      <c r="G30" s="40"/>
      <c r="H30" s="30"/>
    </row>
    <row r="31" spans="1:24" ht="15.75">
      <c r="A31" s="145"/>
      <c r="B31" s="24"/>
      <c r="C31" s="48"/>
      <c r="D31" s="49"/>
      <c r="E31" s="50"/>
      <c r="F31" s="90"/>
      <c r="G31" s="40"/>
      <c r="H31" s="30"/>
    </row>
    <row r="32" spans="1:24" ht="25.5">
      <c r="A32" s="34">
        <f>MAX(A$1:A31)+1</f>
        <v>5</v>
      </c>
      <c r="B32" s="24"/>
      <c r="C32" s="36" t="s">
        <v>119</v>
      </c>
      <c r="D32" s="37"/>
      <c r="E32" s="38" t="s">
        <v>120</v>
      </c>
      <c r="F32" s="39"/>
      <c r="G32" s="40" t="s">
        <v>21</v>
      </c>
      <c r="H32" s="128">
        <v>2</v>
      </c>
    </row>
    <row r="33" spans="1:8" ht="25.5">
      <c r="A33" s="145"/>
      <c r="B33" s="24"/>
      <c r="C33" s="66"/>
      <c r="D33" s="67" t="s">
        <v>121</v>
      </c>
      <c r="E33" s="71" t="s">
        <v>122</v>
      </c>
      <c r="F33" s="61"/>
      <c r="G33" s="62" t="s">
        <v>21</v>
      </c>
      <c r="H33" s="124">
        <v>2</v>
      </c>
    </row>
    <row r="34" spans="1:8" ht="25.5">
      <c r="A34" s="145"/>
      <c r="B34" s="24"/>
      <c r="C34" s="48"/>
      <c r="D34" s="49"/>
      <c r="E34" s="65" t="s">
        <v>1142</v>
      </c>
      <c r="F34" s="90">
        <v>2</v>
      </c>
      <c r="G34" s="40"/>
      <c r="H34" s="30"/>
    </row>
    <row r="35" spans="1:8" ht="15.75">
      <c r="A35" s="145"/>
      <c r="B35" s="24"/>
      <c r="C35" s="48"/>
      <c r="D35" s="49"/>
      <c r="E35" s="50"/>
      <c r="F35" s="90"/>
      <c r="G35" s="40"/>
      <c r="H35" s="30"/>
    </row>
    <row r="36" spans="1:8" ht="25.5">
      <c r="A36" s="34">
        <f>MAX(A$1:A35)+1</f>
        <v>6</v>
      </c>
      <c r="B36" s="35"/>
      <c r="C36" s="36" t="s">
        <v>26</v>
      </c>
      <c r="D36" s="37"/>
      <c r="E36" s="38" t="s">
        <v>27</v>
      </c>
      <c r="F36" s="39"/>
      <c r="G36" s="40" t="s">
        <v>21</v>
      </c>
      <c r="H36" s="128">
        <v>32</v>
      </c>
    </row>
    <row r="37" spans="1:8" ht="25.5">
      <c r="A37" s="145"/>
      <c r="B37" s="35"/>
      <c r="C37" s="36"/>
      <c r="D37" s="67" t="s">
        <v>453</v>
      </c>
      <c r="E37" s="71" t="s">
        <v>454</v>
      </c>
      <c r="F37" s="61"/>
      <c r="G37" s="62" t="s">
        <v>21</v>
      </c>
      <c r="H37" s="124">
        <v>32</v>
      </c>
    </row>
    <row r="38" spans="1:8">
      <c r="A38" s="145"/>
      <c r="B38" s="35"/>
      <c r="C38" s="36"/>
      <c r="D38" s="37"/>
      <c r="E38" s="65" t="s">
        <v>924</v>
      </c>
      <c r="F38" s="46">
        <v>29</v>
      </c>
      <c r="G38" s="40"/>
      <c r="H38" s="128"/>
    </row>
    <row r="39" spans="1:8" ht="25.5">
      <c r="A39" s="145"/>
      <c r="B39" s="35"/>
      <c r="C39" s="36"/>
      <c r="D39" s="37"/>
      <c r="E39" s="65" t="s">
        <v>923</v>
      </c>
      <c r="F39" s="69">
        <v>3</v>
      </c>
      <c r="G39" s="40"/>
      <c r="H39" s="128"/>
    </row>
    <row r="40" spans="1:8">
      <c r="A40" s="145"/>
      <c r="B40" s="35"/>
      <c r="C40" s="36"/>
      <c r="D40" s="37"/>
      <c r="E40" s="65"/>
      <c r="F40" s="46">
        <f>SUM(F38:F39)</f>
        <v>32</v>
      </c>
      <c r="G40" s="40"/>
      <c r="H40" s="128"/>
    </row>
    <row r="41" spans="1:8">
      <c r="A41" s="145"/>
      <c r="B41" s="35"/>
      <c r="C41" s="36"/>
      <c r="D41" s="37"/>
      <c r="E41" s="65"/>
      <c r="F41" s="90"/>
      <c r="G41" s="40"/>
      <c r="H41" s="30"/>
    </row>
    <row r="42" spans="1:8" ht="25.5">
      <c r="A42" s="34">
        <f>MAX(A$1:A41)+1</f>
        <v>7</v>
      </c>
      <c r="B42" s="35"/>
      <c r="C42" s="36" t="s">
        <v>28</v>
      </c>
      <c r="D42" s="37"/>
      <c r="E42" s="38" t="s">
        <v>29</v>
      </c>
      <c r="F42" s="39"/>
      <c r="G42" s="40" t="s">
        <v>21</v>
      </c>
      <c r="H42" s="128">
        <v>62</v>
      </c>
    </row>
    <row r="43" spans="1:8" ht="25.5">
      <c r="A43" s="145"/>
      <c r="B43" s="35"/>
      <c r="C43" s="36"/>
      <c r="D43" s="67" t="s">
        <v>30</v>
      </c>
      <c r="E43" s="71" t="s">
        <v>31</v>
      </c>
      <c r="F43" s="61"/>
      <c r="G43" s="62" t="s">
        <v>21</v>
      </c>
      <c r="H43" s="124">
        <v>2</v>
      </c>
    </row>
    <row r="44" spans="1:8">
      <c r="A44" s="145"/>
      <c r="B44" s="35"/>
      <c r="C44" s="36"/>
      <c r="D44" s="37"/>
      <c r="E44" s="65" t="s">
        <v>926</v>
      </c>
      <c r="F44" s="46">
        <v>2</v>
      </c>
      <c r="G44" s="40"/>
      <c r="H44" s="124"/>
    </row>
    <row r="45" spans="1:8" ht="38.25">
      <c r="A45" s="145"/>
      <c r="B45" s="35"/>
      <c r="C45" s="66"/>
      <c r="D45" s="67" t="s">
        <v>276</v>
      </c>
      <c r="E45" s="71" t="s">
        <v>277</v>
      </c>
      <c r="F45" s="61"/>
      <c r="G45" s="62" t="s">
        <v>21</v>
      </c>
      <c r="H45" s="124">
        <v>60</v>
      </c>
    </row>
    <row r="46" spans="1:8" ht="25.5">
      <c r="A46" s="145"/>
      <c r="B46" s="35"/>
      <c r="C46" s="66"/>
      <c r="D46" s="67"/>
      <c r="E46" s="65" t="s">
        <v>927</v>
      </c>
      <c r="F46" s="46">
        <v>60</v>
      </c>
      <c r="G46" s="62"/>
      <c r="H46" s="30"/>
    </row>
    <row r="47" spans="1:8">
      <c r="A47" s="145"/>
      <c r="B47" s="35"/>
      <c r="C47" s="36"/>
      <c r="D47" s="37"/>
      <c r="E47" s="65"/>
      <c r="F47" s="90"/>
      <c r="G47" s="40"/>
      <c r="H47" s="30"/>
    </row>
    <row r="48" spans="1:8" ht="25.5">
      <c r="A48" s="34">
        <f>MAX(A$1:A47)+1</f>
        <v>8</v>
      </c>
      <c r="B48" s="35"/>
      <c r="C48" s="36" t="s">
        <v>125</v>
      </c>
      <c r="D48" s="37"/>
      <c r="E48" s="38" t="s">
        <v>126</v>
      </c>
      <c r="F48" s="39"/>
      <c r="G48" s="40" t="s">
        <v>21</v>
      </c>
      <c r="H48" s="128">
        <v>80</v>
      </c>
    </row>
    <row r="49" spans="1:8" ht="25.5">
      <c r="A49" s="145"/>
      <c r="B49" s="35"/>
      <c r="C49" s="66"/>
      <c r="D49" s="67" t="s">
        <v>278</v>
      </c>
      <c r="E49" s="71" t="s">
        <v>279</v>
      </c>
      <c r="F49" s="61"/>
      <c r="G49" s="62" t="s">
        <v>21</v>
      </c>
      <c r="H49" s="124">
        <v>80</v>
      </c>
    </row>
    <row r="50" spans="1:8">
      <c r="A50" s="145"/>
      <c r="B50" s="35"/>
      <c r="C50" s="36"/>
      <c r="D50" s="37"/>
      <c r="E50" s="65" t="s">
        <v>1396</v>
      </c>
      <c r="F50" s="90">
        <v>80</v>
      </c>
      <c r="G50" s="40"/>
      <c r="H50" s="30"/>
    </row>
    <row r="51" spans="1:8">
      <c r="A51" s="145"/>
      <c r="B51" s="35"/>
      <c r="C51" s="36"/>
      <c r="D51" s="37"/>
      <c r="E51" s="65"/>
      <c r="F51" s="90"/>
      <c r="G51" s="40"/>
      <c r="H51" s="30"/>
    </row>
    <row r="52" spans="1:8" ht="38.25">
      <c r="A52" s="34">
        <f>MAX(A$1:A51)+1</f>
        <v>9</v>
      </c>
      <c r="B52" s="35"/>
      <c r="C52" s="36" t="s">
        <v>133</v>
      </c>
      <c r="D52" s="37"/>
      <c r="E52" s="38" t="s">
        <v>134</v>
      </c>
      <c r="F52" s="39"/>
      <c r="G52" s="40" t="s">
        <v>21</v>
      </c>
      <c r="H52" s="128">
        <v>124</v>
      </c>
    </row>
    <row r="53" spans="1:8" ht="38.25">
      <c r="A53" s="145"/>
      <c r="B53" s="35"/>
      <c r="C53" s="36"/>
      <c r="D53" s="67" t="s">
        <v>468</v>
      </c>
      <c r="E53" s="71" t="s">
        <v>469</v>
      </c>
      <c r="F53" s="61"/>
      <c r="G53" s="62" t="s">
        <v>21</v>
      </c>
      <c r="H53" s="124">
        <v>32</v>
      </c>
    </row>
    <row r="54" spans="1:8" ht="25.5">
      <c r="A54" s="145"/>
      <c r="B54" s="35"/>
      <c r="C54" s="36"/>
      <c r="D54" s="37"/>
      <c r="E54" s="65" t="s">
        <v>929</v>
      </c>
      <c r="F54" s="46">
        <v>32</v>
      </c>
      <c r="G54" s="40"/>
      <c r="H54" s="128"/>
    </row>
    <row r="55" spans="1:8" ht="38.25">
      <c r="A55" s="145"/>
      <c r="B55" s="35"/>
      <c r="C55" s="36"/>
      <c r="D55" s="67" t="s">
        <v>230</v>
      </c>
      <c r="E55" s="71" t="s">
        <v>231</v>
      </c>
      <c r="F55" s="61"/>
      <c r="G55" s="62" t="s">
        <v>21</v>
      </c>
      <c r="H55" s="124">
        <v>32</v>
      </c>
    </row>
    <row r="56" spans="1:8" ht="25.5">
      <c r="A56" s="145"/>
      <c r="B56" s="35"/>
      <c r="C56" s="36"/>
      <c r="D56" s="37"/>
      <c r="E56" s="65" t="s">
        <v>1397</v>
      </c>
      <c r="F56" s="90">
        <v>32</v>
      </c>
      <c r="G56" s="40"/>
      <c r="H56" s="30"/>
    </row>
    <row r="57" spans="1:8" ht="38.25">
      <c r="A57" s="145"/>
      <c r="B57" s="35"/>
      <c r="C57" s="36"/>
      <c r="D57" s="67" t="s">
        <v>135</v>
      </c>
      <c r="E57" s="71" t="s">
        <v>136</v>
      </c>
      <c r="F57" s="61"/>
      <c r="G57" s="62" t="s">
        <v>21</v>
      </c>
      <c r="H57" s="124">
        <v>60</v>
      </c>
    </row>
    <row r="58" spans="1:8" ht="25.5">
      <c r="A58" s="145"/>
      <c r="B58" s="35"/>
      <c r="C58" s="36"/>
      <c r="D58" s="37"/>
      <c r="E58" s="65" t="s">
        <v>1398</v>
      </c>
      <c r="F58" s="90">
        <v>60</v>
      </c>
      <c r="G58" s="40"/>
      <c r="H58" s="30"/>
    </row>
    <row r="59" spans="1:8">
      <c r="A59" s="145"/>
      <c r="B59" s="35"/>
      <c r="C59" s="36"/>
      <c r="D59" s="37"/>
      <c r="E59" s="65"/>
      <c r="F59" s="138"/>
      <c r="G59" s="40"/>
      <c r="H59" s="30"/>
    </row>
    <row r="60" spans="1:8" ht="38.25">
      <c r="A60" s="34">
        <f>MAX(A$1:A59)+1</f>
        <v>10</v>
      </c>
      <c r="B60" s="35"/>
      <c r="C60" s="36" t="s">
        <v>455</v>
      </c>
      <c r="D60" s="37"/>
      <c r="E60" s="38" t="s">
        <v>456</v>
      </c>
      <c r="F60" s="39"/>
      <c r="G60" s="40" t="s">
        <v>36</v>
      </c>
      <c r="H60" s="128">
        <v>34</v>
      </c>
    </row>
    <row r="61" spans="1:8" ht="25.5">
      <c r="A61" s="145"/>
      <c r="B61" s="35"/>
      <c r="C61" s="66"/>
      <c r="D61" s="67" t="s">
        <v>933</v>
      </c>
      <c r="E61" s="71" t="s">
        <v>934</v>
      </c>
      <c r="F61" s="61"/>
      <c r="G61" s="62" t="s">
        <v>36</v>
      </c>
      <c r="H61" s="124">
        <v>18</v>
      </c>
    </row>
    <row r="62" spans="1:8" ht="25.5">
      <c r="A62" s="145"/>
      <c r="B62" s="35"/>
      <c r="C62" s="66"/>
      <c r="D62" s="67"/>
      <c r="E62" s="65" t="s">
        <v>935</v>
      </c>
      <c r="F62" s="46">
        <v>18</v>
      </c>
      <c r="G62" s="62"/>
      <c r="H62" s="30"/>
    </row>
    <row r="63" spans="1:8" ht="25.5">
      <c r="A63" s="145"/>
      <c r="B63" s="35"/>
      <c r="C63" s="66"/>
      <c r="D63" s="67" t="s">
        <v>560</v>
      </c>
      <c r="E63" s="71" t="s">
        <v>803</v>
      </c>
      <c r="F63" s="61"/>
      <c r="G63" s="62" t="s">
        <v>36</v>
      </c>
      <c r="H63" s="124">
        <v>16</v>
      </c>
    </row>
    <row r="64" spans="1:8" ht="25.5">
      <c r="A64" s="145"/>
      <c r="B64" s="35"/>
      <c r="C64" s="36"/>
      <c r="D64" s="37"/>
      <c r="E64" s="65" t="s">
        <v>936</v>
      </c>
      <c r="F64" s="90">
        <v>16</v>
      </c>
      <c r="G64" s="40"/>
      <c r="H64" s="30"/>
    </row>
    <row r="65" spans="1:9">
      <c r="A65" s="145"/>
      <c r="B65" s="35"/>
      <c r="C65" s="36"/>
      <c r="D65" s="37"/>
      <c r="E65" s="65"/>
      <c r="F65" s="90"/>
      <c r="G65" s="40"/>
      <c r="H65" s="30"/>
    </row>
    <row r="66" spans="1:9" ht="38.25">
      <c r="A66" s="34">
        <f>MAX(A$1:A65)+1</f>
        <v>11</v>
      </c>
      <c r="B66" s="35"/>
      <c r="C66" s="36" t="s">
        <v>32</v>
      </c>
      <c r="D66" s="37"/>
      <c r="E66" s="38" t="s">
        <v>232</v>
      </c>
      <c r="F66" s="39"/>
      <c r="G66" s="40" t="s">
        <v>33</v>
      </c>
      <c r="H66" s="128">
        <v>2</v>
      </c>
    </row>
    <row r="67" spans="1:9" ht="25.5">
      <c r="A67" s="145"/>
      <c r="B67" s="35"/>
      <c r="C67" s="36"/>
      <c r="D67" s="37"/>
      <c r="E67" s="65" t="s">
        <v>1399</v>
      </c>
      <c r="F67" s="90">
        <v>2</v>
      </c>
      <c r="G67" s="40"/>
      <c r="H67" s="30"/>
    </row>
    <row r="68" spans="1:9">
      <c r="A68" s="145"/>
      <c r="B68" s="35"/>
      <c r="C68" s="36"/>
      <c r="D68" s="37"/>
      <c r="E68" s="65"/>
      <c r="F68" s="90"/>
      <c r="G68" s="40"/>
      <c r="H68" s="30"/>
    </row>
    <row r="69" spans="1:9">
      <c r="A69" s="34">
        <f>MAX(A$1:A68)+1</f>
        <v>12</v>
      </c>
      <c r="B69" s="35"/>
      <c r="C69" s="36" t="s">
        <v>37</v>
      </c>
      <c r="D69" s="37"/>
      <c r="E69" s="38" t="s">
        <v>38</v>
      </c>
      <c r="F69" s="39"/>
      <c r="G69" s="40" t="s">
        <v>15</v>
      </c>
      <c r="H69" s="128">
        <v>123.65</v>
      </c>
      <c r="I69" s="120"/>
    </row>
    <row r="70" spans="1:9">
      <c r="A70" s="145"/>
      <c r="B70" s="35"/>
      <c r="C70" s="36"/>
      <c r="D70" s="67" t="s">
        <v>39</v>
      </c>
      <c r="E70" s="71" t="s">
        <v>40</v>
      </c>
      <c r="F70" s="61"/>
      <c r="G70" s="62" t="s">
        <v>15</v>
      </c>
      <c r="H70" s="124">
        <v>123.65</v>
      </c>
    </row>
    <row r="71" spans="1:9">
      <c r="A71" s="145"/>
      <c r="B71" s="35"/>
      <c r="C71" s="36"/>
      <c r="D71" s="67"/>
      <c r="E71" s="84" t="s">
        <v>71</v>
      </c>
      <c r="F71" s="61"/>
      <c r="G71" s="62"/>
      <c r="H71" s="30"/>
    </row>
    <row r="72" spans="1:9" ht="25.5">
      <c r="A72" s="145"/>
      <c r="B72" s="35"/>
      <c r="C72" s="36"/>
      <c r="D72" s="67"/>
      <c r="E72" s="65" t="s">
        <v>1400</v>
      </c>
      <c r="F72" s="90">
        <f>F34*0.181</f>
        <v>0.36199999999999999</v>
      </c>
      <c r="G72" s="62"/>
      <c r="H72" s="30"/>
      <c r="I72" s="208"/>
    </row>
    <row r="73" spans="1:9" ht="25.5">
      <c r="A73" s="145"/>
      <c r="B73" s="35"/>
      <c r="C73" s="36"/>
      <c r="D73" s="67"/>
      <c r="E73" s="65" t="s">
        <v>1401</v>
      </c>
      <c r="F73" s="46">
        <f>F38*0.288</f>
        <v>8.3519999999999985</v>
      </c>
      <c r="G73" s="62"/>
      <c r="H73" s="30"/>
      <c r="I73" s="208"/>
    </row>
    <row r="74" spans="1:9" ht="25.5">
      <c r="A74" s="145"/>
      <c r="B74" s="35"/>
      <c r="C74" s="36"/>
      <c r="D74" s="67"/>
      <c r="E74" s="65" t="s">
        <v>1402</v>
      </c>
      <c r="F74" s="46">
        <f>F39*0.288</f>
        <v>0.86399999999999988</v>
      </c>
      <c r="G74" s="62"/>
      <c r="H74" s="30"/>
      <c r="I74" s="208"/>
    </row>
    <row r="75" spans="1:9" ht="25.5">
      <c r="A75" s="145"/>
      <c r="B75" s="35"/>
      <c r="C75" s="36"/>
      <c r="D75" s="67"/>
      <c r="E75" s="65" t="s">
        <v>1403</v>
      </c>
      <c r="F75" s="46">
        <f>F44*0.22</f>
        <v>0.44</v>
      </c>
      <c r="G75" s="62"/>
      <c r="H75" s="30"/>
      <c r="I75" s="208"/>
    </row>
    <row r="76" spans="1:9" ht="25.5">
      <c r="A76" s="145"/>
      <c r="B76" s="35"/>
      <c r="C76" s="36"/>
      <c r="D76" s="67"/>
      <c r="E76" s="65" t="s">
        <v>1404</v>
      </c>
      <c r="F76" s="46">
        <f>F46*0.44</f>
        <v>26.4</v>
      </c>
      <c r="G76" s="62"/>
      <c r="H76" s="30"/>
      <c r="I76" s="208"/>
    </row>
    <row r="77" spans="1:9" ht="25.5">
      <c r="A77" s="145"/>
      <c r="B77" s="35"/>
      <c r="C77" s="36"/>
      <c r="D77" s="67"/>
      <c r="E77" s="65" t="s">
        <v>1405</v>
      </c>
      <c r="F77" s="90">
        <f>F50*0.181</f>
        <v>14.48</v>
      </c>
      <c r="G77" s="62"/>
      <c r="H77" s="30"/>
      <c r="I77" s="208"/>
    </row>
    <row r="78" spans="1:9" ht="25.5">
      <c r="A78" s="145"/>
      <c r="B78" s="35"/>
      <c r="C78" s="36"/>
      <c r="D78" s="67"/>
      <c r="E78" s="65" t="s">
        <v>1406</v>
      </c>
      <c r="F78" s="46">
        <f>F54*0.13</f>
        <v>4.16</v>
      </c>
      <c r="G78" s="62"/>
      <c r="H78" s="30"/>
      <c r="I78" s="208"/>
    </row>
    <row r="79" spans="1:9" ht="38.25">
      <c r="A79" s="145"/>
      <c r="B79" s="35"/>
      <c r="C79" s="36"/>
      <c r="D79" s="67"/>
      <c r="E79" s="65" t="s">
        <v>1407</v>
      </c>
      <c r="F79" s="90">
        <f>F56*0.235</f>
        <v>7.52</v>
      </c>
      <c r="G79" s="62"/>
      <c r="H79" s="30"/>
      <c r="I79" s="208"/>
    </row>
    <row r="80" spans="1:9" ht="25.5">
      <c r="A80" s="145"/>
      <c r="B80" s="35"/>
      <c r="C80" s="36"/>
      <c r="D80" s="67"/>
      <c r="E80" s="65" t="s">
        <v>1408</v>
      </c>
      <c r="F80" s="90">
        <f>F58*0.4</f>
        <v>24</v>
      </c>
      <c r="G80" s="62"/>
      <c r="H80" s="30"/>
      <c r="I80" s="208"/>
    </row>
    <row r="81" spans="1:12" ht="25.5">
      <c r="A81" s="145"/>
      <c r="B81" s="35"/>
      <c r="C81" s="36"/>
      <c r="D81" s="67"/>
      <c r="E81" s="65" t="s">
        <v>1409</v>
      </c>
      <c r="F81" s="46">
        <f>F62*0.23</f>
        <v>4.1400000000000006</v>
      </c>
      <c r="G81" s="62"/>
      <c r="H81" s="30"/>
      <c r="I81" s="208"/>
    </row>
    <row r="82" spans="1:12" ht="25.5">
      <c r="A82" s="145"/>
      <c r="B82" s="35"/>
      <c r="C82" s="36"/>
      <c r="D82" s="67"/>
      <c r="E82" s="65" t="s">
        <v>1410</v>
      </c>
      <c r="F82" s="90">
        <f>F64*0.04</f>
        <v>0.64</v>
      </c>
      <c r="G82" s="62"/>
      <c r="H82" s="30"/>
      <c r="I82" s="208"/>
    </row>
    <row r="83" spans="1:12" ht="26.25">
      <c r="A83" s="145"/>
      <c r="B83" s="35"/>
      <c r="C83" s="36"/>
      <c r="D83" s="67"/>
      <c r="E83" s="68" t="s">
        <v>1411</v>
      </c>
      <c r="F83" s="138">
        <f>F92*0.153</f>
        <v>32.130000000000003</v>
      </c>
      <c r="G83" s="62"/>
      <c r="H83" s="30"/>
      <c r="I83" s="208"/>
    </row>
    <row r="84" spans="1:12">
      <c r="A84" s="145"/>
      <c r="B84" s="35"/>
      <c r="C84" s="36"/>
      <c r="D84" s="67"/>
      <c r="E84" s="65"/>
      <c r="F84" s="90">
        <f>SUM(F72:F83)</f>
        <v>123.488</v>
      </c>
      <c r="G84" s="62"/>
      <c r="H84" s="30"/>
    </row>
    <row r="85" spans="1:12">
      <c r="A85" s="145"/>
      <c r="B85" s="35"/>
      <c r="C85" s="36"/>
      <c r="D85" s="67"/>
      <c r="E85" s="65"/>
      <c r="F85" s="90"/>
      <c r="G85" s="62"/>
      <c r="H85" s="30"/>
    </row>
    <row r="86" spans="1:12">
      <c r="A86" s="145"/>
      <c r="B86" s="35"/>
      <c r="C86" s="36"/>
      <c r="D86" s="67"/>
      <c r="E86" s="84" t="s">
        <v>142</v>
      </c>
      <c r="F86" s="90"/>
      <c r="G86" s="62"/>
      <c r="H86" s="30"/>
    </row>
    <row r="87" spans="1:12" ht="25.5">
      <c r="A87" s="145"/>
      <c r="B87" s="35"/>
      <c r="C87" s="36"/>
      <c r="D87" s="67"/>
      <c r="E87" s="65" t="s">
        <v>1412</v>
      </c>
      <c r="F87" s="90">
        <f>F67*0.082</f>
        <v>0.16400000000000001</v>
      </c>
      <c r="G87" s="62"/>
      <c r="H87" s="30"/>
      <c r="I87" s="208"/>
    </row>
    <row r="88" spans="1:12">
      <c r="A88" s="145"/>
      <c r="B88" s="35"/>
      <c r="C88" s="36"/>
      <c r="D88" s="67"/>
      <c r="E88" s="91" t="s">
        <v>41</v>
      </c>
      <c r="F88" s="92">
        <f>F84+F87</f>
        <v>123.652</v>
      </c>
      <c r="G88" s="62"/>
      <c r="H88" s="30"/>
      <c r="L88" s="120"/>
    </row>
    <row r="89" spans="1:12">
      <c r="A89" s="145"/>
      <c r="B89" s="35"/>
      <c r="C89" s="36"/>
      <c r="D89" s="67"/>
      <c r="E89" s="65"/>
      <c r="F89" s="90"/>
      <c r="G89" s="62"/>
      <c r="H89" s="30"/>
    </row>
    <row r="90" spans="1:12" ht="25.5">
      <c r="A90" s="34">
        <f>MAX(A$1:A89)+1</f>
        <v>13</v>
      </c>
      <c r="B90" s="35"/>
      <c r="C90" s="36" t="s">
        <v>42</v>
      </c>
      <c r="D90" s="37"/>
      <c r="E90" s="38" t="s">
        <v>43</v>
      </c>
      <c r="F90" s="39"/>
      <c r="G90" s="40" t="s">
        <v>21</v>
      </c>
      <c r="H90" s="128">
        <v>210</v>
      </c>
    </row>
    <row r="91" spans="1:12" ht="25.5">
      <c r="A91" s="145"/>
      <c r="B91" s="35"/>
      <c r="C91" s="36"/>
      <c r="D91" s="67" t="s">
        <v>750</v>
      </c>
      <c r="E91" s="71" t="s">
        <v>751</v>
      </c>
      <c r="F91" s="61"/>
      <c r="G91" s="62" t="s">
        <v>21</v>
      </c>
      <c r="H91" s="124">
        <v>210</v>
      </c>
    </row>
    <row r="92" spans="1:12">
      <c r="A92" s="145"/>
      <c r="B92" s="35"/>
      <c r="C92" s="36"/>
      <c r="D92" s="37"/>
      <c r="E92" s="68" t="s">
        <v>1413</v>
      </c>
      <c r="F92" s="90">
        <v>210</v>
      </c>
      <c r="G92" s="40"/>
      <c r="H92" s="30"/>
    </row>
    <row r="93" spans="1:12">
      <c r="A93" s="145"/>
      <c r="B93" s="35"/>
      <c r="C93" s="36"/>
      <c r="D93" s="37"/>
      <c r="E93" s="68"/>
      <c r="F93" s="90"/>
      <c r="G93" s="40"/>
      <c r="H93" s="30"/>
    </row>
    <row r="94" spans="1:12" ht="25.5">
      <c r="A94" s="34">
        <f>MAX(A$1:A93)+1</f>
        <v>14</v>
      </c>
      <c r="B94" s="35"/>
      <c r="C94" s="36" t="s">
        <v>233</v>
      </c>
      <c r="D94" s="37"/>
      <c r="E94" s="38" t="s">
        <v>234</v>
      </c>
      <c r="F94" s="39"/>
      <c r="G94" s="40" t="s">
        <v>36</v>
      </c>
      <c r="H94" s="128">
        <v>133</v>
      </c>
      <c r="I94" s="689"/>
    </row>
    <row r="95" spans="1:12" ht="25.5">
      <c r="A95" s="145"/>
      <c r="B95" s="35"/>
      <c r="C95" s="36"/>
      <c r="D95" s="67" t="s">
        <v>235</v>
      </c>
      <c r="E95" s="71" t="s">
        <v>236</v>
      </c>
      <c r="F95" s="61"/>
      <c r="G95" s="62" t="s">
        <v>36</v>
      </c>
      <c r="H95" s="124">
        <v>48</v>
      </c>
    </row>
    <row r="96" spans="1:12">
      <c r="A96" s="145"/>
      <c r="B96" s="35"/>
      <c r="C96" s="36"/>
      <c r="D96" s="37"/>
      <c r="E96" s="65" t="s">
        <v>967</v>
      </c>
      <c r="F96" s="46">
        <v>48</v>
      </c>
      <c r="G96" s="40"/>
      <c r="H96" s="128"/>
    </row>
    <row r="97" spans="1:8" ht="25.5">
      <c r="A97" s="145"/>
      <c r="B97" s="35"/>
      <c r="C97" s="36"/>
      <c r="D97" s="67" t="s">
        <v>449</v>
      </c>
      <c r="E97" s="71" t="s">
        <v>450</v>
      </c>
      <c r="F97" s="61"/>
      <c r="G97" s="62" t="s">
        <v>36</v>
      </c>
      <c r="H97" s="124">
        <v>85</v>
      </c>
    </row>
    <row r="98" spans="1:8" ht="26.25">
      <c r="A98" s="145"/>
      <c r="B98" s="35"/>
      <c r="C98" s="36"/>
      <c r="D98" s="67"/>
      <c r="E98" s="68" t="s">
        <v>1414</v>
      </c>
      <c r="F98" s="90">
        <v>40</v>
      </c>
      <c r="G98" s="62"/>
      <c r="H98" s="128"/>
    </row>
    <row r="99" spans="1:8" ht="26.25">
      <c r="A99" s="145"/>
      <c r="B99" s="35"/>
      <c r="C99" s="36"/>
      <c r="D99" s="37"/>
      <c r="E99" s="68" t="s">
        <v>1415</v>
      </c>
      <c r="F99" s="138">
        <v>45</v>
      </c>
      <c r="G99" s="40"/>
      <c r="H99" s="128"/>
    </row>
    <row r="100" spans="1:8">
      <c r="A100" s="145"/>
      <c r="B100" s="35"/>
      <c r="C100" s="36"/>
      <c r="D100" s="37"/>
      <c r="E100" s="38"/>
      <c r="F100" s="90">
        <f>SUM(F98:F99)</f>
        <v>85</v>
      </c>
      <c r="G100" s="40"/>
      <c r="H100" s="128"/>
    </row>
    <row r="101" spans="1:8">
      <c r="A101" s="145"/>
      <c r="B101" s="35"/>
      <c r="C101" s="36"/>
      <c r="D101" s="37"/>
      <c r="E101" s="65"/>
      <c r="F101" s="90"/>
      <c r="G101" s="40"/>
      <c r="H101" s="30"/>
    </row>
    <row r="102" spans="1:8">
      <c r="A102" s="145"/>
      <c r="B102" s="35" t="s">
        <v>44</v>
      </c>
      <c r="C102" s="93"/>
      <c r="D102" s="94"/>
      <c r="E102" s="96" t="s">
        <v>45</v>
      </c>
      <c r="F102" s="46"/>
      <c r="G102" s="40"/>
      <c r="H102" s="30"/>
    </row>
    <row r="103" spans="1:8">
      <c r="A103" s="145"/>
      <c r="B103" s="31"/>
      <c r="C103" s="36"/>
      <c r="D103" s="37"/>
      <c r="E103" s="38"/>
      <c r="F103" s="46"/>
      <c r="G103" s="40"/>
      <c r="H103" s="30"/>
    </row>
    <row r="104" spans="1:8">
      <c r="A104" s="34">
        <f>MAX(A$1:A103)+1</f>
        <v>15</v>
      </c>
      <c r="B104" s="31"/>
      <c r="C104" s="36" t="s">
        <v>284</v>
      </c>
      <c r="D104" s="37"/>
      <c r="E104" s="38" t="s">
        <v>285</v>
      </c>
      <c r="F104" s="39"/>
      <c r="G104" s="40" t="s">
        <v>21</v>
      </c>
      <c r="H104" s="128">
        <v>16.5</v>
      </c>
    </row>
    <row r="105" spans="1:8">
      <c r="A105" s="145"/>
      <c r="B105" s="31"/>
      <c r="C105" s="66"/>
      <c r="D105" s="67" t="s">
        <v>286</v>
      </c>
      <c r="E105" s="71" t="s">
        <v>287</v>
      </c>
      <c r="F105" s="61"/>
      <c r="G105" s="62" t="s">
        <v>21</v>
      </c>
      <c r="H105" s="124">
        <v>16.5</v>
      </c>
    </row>
    <row r="106" spans="1:8">
      <c r="A106" s="145"/>
      <c r="B106" s="31"/>
      <c r="C106" s="66"/>
      <c r="D106" s="67"/>
      <c r="E106" s="65" t="s">
        <v>970</v>
      </c>
      <c r="F106" s="90">
        <v>16.5</v>
      </c>
      <c r="G106" s="62"/>
      <c r="H106" s="30"/>
    </row>
    <row r="107" spans="1:8">
      <c r="A107" s="145"/>
      <c r="B107" s="31"/>
      <c r="C107" s="66"/>
      <c r="D107" s="67"/>
      <c r="E107" s="71"/>
      <c r="F107" s="61"/>
      <c r="G107" s="62"/>
      <c r="H107" s="30"/>
    </row>
    <row r="108" spans="1:8">
      <c r="A108" s="34">
        <f>MAX(A$1:A107)+1</f>
        <v>16</v>
      </c>
      <c r="B108" s="89"/>
      <c r="C108" s="36" t="s">
        <v>50</v>
      </c>
      <c r="D108" s="37"/>
      <c r="E108" s="38" t="s">
        <v>51</v>
      </c>
      <c r="F108" s="39"/>
      <c r="G108" s="40" t="s">
        <v>18</v>
      </c>
      <c r="H108" s="128">
        <v>1.6500000000000001</v>
      </c>
    </row>
    <row r="109" spans="1:8" ht="25.5">
      <c r="A109" s="145"/>
      <c r="B109" s="31"/>
      <c r="C109" s="66"/>
      <c r="D109" s="67" t="s">
        <v>288</v>
      </c>
      <c r="E109" s="71" t="s">
        <v>289</v>
      </c>
      <c r="F109" s="61"/>
      <c r="G109" s="62" t="s">
        <v>18</v>
      </c>
      <c r="H109" s="124">
        <v>1.6500000000000001</v>
      </c>
    </row>
    <row r="110" spans="1:8" ht="25.5">
      <c r="A110" s="145"/>
      <c r="B110" s="31"/>
      <c r="C110" s="66"/>
      <c r="D110" s="67"/>
      <c r="E110" s="86" t="s">
        <v>1416</v>
      </c>
      <c r="F110" s="46">
        <f>F106*0.1</f>
        <v>1.6500000000000001</v>
      </c>
      <c r="G110" s="62"/>
      <c r="H110" s="30"/>
    </row>
    <row r="111" spans="1:8">
      <c r="A111" s="145"/>
      <c r="B111" s="31"/>
      <c r="C111" s="66"/>
      <c r="D111" s="67"/>
      <c r="E111" s="71"/>
      <c r="F111" s="61"/>
      <c r="G111" s="62"/>
      <c r="H111" s="30"/>
    </row>
    <row r="112" spans="1:8">
      <c r="A112" s="145"/>
      <c r="B112" s="35" t="s">
        <v>87</v>
      </c>
      <c r="C112" s="93"/>
      <c r="D112" s="94"/>
      <c r="E112" s="50" t="s">
        <v>88</v>
      </c>
      <c r="F112" s="81"/>
      <c r="G112" s="62"/>
      <c r="H112" s="30"/>
    </row>
    <row r="113" spans="1:8">
      <c r="A113" s="34"/>
      <c r="B113" s="256"/>
      <c r="C113" s="79"/>
      <c r="D113" s="67"/>
      <c r="E113" s="91"/>
      <c r="F113" s="81"/>
      <c r="G113" s="62"/>
      <c r="H113" s="30"/>
    </row>
    <row r="114" spans="1:8">
      <c r="A114" s="34">
        <f>MAX(A$1:A113)+1</f>
        <v>17</v>
      </c>
      <c r="B114" s="256"/>
      <c r="C114" s="36" t="s">
        <v>175</v>
      </c>
      <c r="D114" s="37"/>
      <c r="E114" s="38" t="s">
        <v>176</v>
      </c>
      <c r="F114" s="39"/>
      <c r="G114" s="40" t="s">
        <v>18</v>
      </c>
      <c r="H114" s="128">
        <v>2.4</v>
      </c>
    </row>
    <row r="115" spans="1:8" ht="25.5">
      <c r="A115" s="34"/>
      <c r="B115" s="256"/>
      <c r="C115" s="66"/>
      <c r="D115" s="67" t="s">
        <v>177</v>
      </c>
      <c r="E115" s="71" t="s">
        <v>178</v>
      </c>
      <c r="F115" s="61"/>
      <c r="G115" s="62" t="s">
        <v>18</v>
      </c>
      <c r="H115" s="124">
        <v>2.4</v>
      </c>
    </row>
    <row r="116" spans="1:8">
      <c r="A116" s="34"/>
      <c r="B116" s="256"/>
      <c r="C116" s="66"/>
      <c r="D116" s="67"/>
      <c r="E116" s="65" t="s">
        <v>1417</v>
      </c>
      <c r="F116" s="46">
        <f>0.15*16</f>
        <v>2.4</v>
      </c>
      <c r="G116" s="62"/>
      <c r="H116" s="30"/>
    </row>
    <row r="117" spans="1:8">
      <c r="A117" s="34"/>
      <c r="B117" s="256"/>
      <c r="C117" s="66"/>
      <c r="D117" s="67"/>
      <c r="E117" s="71"/>
      <c r="F117" s="61"/>
      <c r="G117" s="62"/>
      <c r="H117" s="30"/>
    </row>
    <row r="118" spans="1:8">
      <c r="A118" s="34">
        <f>MAX(A$1:A117)+1</f>
        <v>18</v>
      </c>
      <c r="B118" s="31"/>
      <c r="C118" s="36" t="s">
        <v>83</v>
      </c>
      <c r="D118" s="37"/>
      <c r="E118" s="38" t="s">
        <v>84</v>
      </c>
      <c r="F118" s="39"/>
      <c r="G118" s="40" t="s">
        <v>18</v>
      </c>
      <c r="H118" s="128">
        <v>2.4</v>
      </c>
    </row>
    <row r="119" spans="1:8" ht="25.5">
      <c r="A119" s="268"/>
      <c r="B119" s="31"/>
      <c r="C119" s="66"/>
      <c r="D119" s="67" t="s">
        <v>85</v>
      </c>
      <c r="E119" s="71" t="s">
        <v>86</v>
      </c>
      <c r="F119" s="61"/>
      <c r="G119" s="62" t="s">
        <v>18</v>
      </c>
      <c r="H119" s="124">
        <v>2.4</v>
      </c>
    </row>
    <row r="120" spans="1:8">
      <c r="A120" s="268"/>
      <c r="B120" s="31"/>
      <c r="C120" s="66"/>
      <c r="D120" s="67"/>
      <c r="E120" s="65" t="s">
        <v>623</v>
      </c>
      <c r="F120" s="46">
        <f>F116</f>
        <v>2.4</v>
      </c>
      <c r="G120" s="62"/>
      <c r="H120" s="30"/>
    </row>
    <row r="121" spans="1:8">
      <c r="A121" s="268"/>
      <c r="B121" s="31"/>
      <c r="C121" s="66"/>
      <c r="D121" s="67"/>
      <c r="E121" s="65"/>
      <c r="F121" s="68"/>
      <c r="G121" s="62"/>
      <c r="H121" s="30"/>
    </row>
    <row r="122" spans="1:8" ht="25.5">
      <c r="A122" s="34">
        <f>MAX(A$1:A121)+1</f>
        <v>19</v>
      </c>
      <c r="B122" s="31"/>
      <c r="C122" s="36" t="s">
        <v>90</v>
      </c>
      <c r="D122" s="37"/>
      <c r="E122" s="38" t="s">
        <v>91</v>
      </c>
      <c r="F122" s="39"/>
      <c r="G122" s="40" t="s">
        <v>21</v>
      </c>
      <c r="H122" s="128">
        <v>16</v>
      </c>
    </row>
    <row r="123" spans="1:8" ht="25.5">
      <c r="A123" s="268"/>
      <c r="B123" s="31"/>
      <c r="C123" s="66"/>
      <c r="D123" s="67" t="s">
        <v>92</v>
      </c>
      <c r="E123" s="71" t="s">
        <v>93</v>
      </c>
      <c r="F123" s="61"/>
      <c r="G123" s="62" t="s">
        <v>21</v>
      </c>
      <c r="H123" s="124">
        <v>16</v>
      </c>
    </row>
    <row r="124" spans="1:8">
      <c r="A124" s="268"/>
      <c r="B124" s="31"/>
      <c r="C124" s="66"/>
      <c r="D124" s="67"/>
      <c r="E124" s="65" t="s">
        <v>973</v>
      </c>
      <c r="F124" s="90">
        <f>F116/0.15</f>
        <v>16</v>
      </c>
      <c r="G124" s="62"/>
      <c r="H124" s="30"/>
    </row>
    <row r="125" spans="1:8">
      <c r="A125" s="268"/>
      <c r="B125" s="31"/>
      <c r="C125" s="66"/>
      <c r="D125" s="67"/>
      <c r="E125" s="65"/>
      <c r="F125" s="90"/>
      <c r="G125" s="62"/>
      <c r="H125" s="30"/>
    </row>
    <row r="126" spans="1:8" ht="25.5">
      <c r="A126" s="34">
        <f>MAX(A$1:A125)+1</f>
        <v>20</v>
      </c>
      <c r="B126" s="31"/>
      <c r="C126" s="36" t="s">
        <v>94</v>
      </c>
      <c r="D126" s="37"/>
      <c r="E126" s="38" t="s">
        <v>95</v>
      </c>
      <c r="F126" s="39"/>
      <c r="G126" s="40" t="s">
        <v>21</v>
      </c>
      <c r="H126" s="128">
        <v>16</v>
      </c>
    </row>
    <row r="127" spans="1:8" ht="25.5">
      <c r="A127" s="268"/>
      <c r="B127" s="31"/>
      <c r="C127" s="66"/>
      <c r="D127" s="67" t="s">
        <v>96</v>
      </c>
      <c r="E127" s="71" t="s">
        <v>97</v>
      </c>
      <c r="F127" s="61"/>
      <c r="G127" s="62" t="s">
        <v>21</v>
      </c>
      <c r="H127" s="124">
        <v>16</v>
      </c>
    </row>
    <row r="128" spans="1:8">
      <c r="A128" s="268"/>
      <c r="B128" s="31"/>
      <c r="C128" s="66"/>
      <c r="D128" s="67"/>
      <c r="E128" s="65" t="s">
        <v>563</v>
      </c>
      <c r="F128" s="90">
        <f>F124</f>
        <v>16</v>
      </c>
      <c r="G128" s="62"/>
      <c r="H128" s="30"/>
    </row>
    <row r="129" spans="1:17">
      <c r="A129" s="268"/>
      <c r="B129" s="31"/>
      <c r="C129" s="66"/>
      <c r="D129" s="67"/>
      <c r="E129" s="65"/>
      <c r="F129" s="90"/>
      <c r="G129" s="62"/>
      <c r="H129" s="30"/>
    </row>
    <row r="130" spans="1:17" ht="25.5">
      <c r="A130" s="34">
        <f>MAX(A$1:A129)+1</f>
        <v>21</v>
      </c>
      <c r="B130" s="31"/>
      <c r="C130" s="36" t="s">
        <v>98</v>
      </c>
      <c r="D130" s="37"/>
      <c r="E130" s="38" t="s">
        <v>99</v>
      </c>
      <c r="F130" s="277"/>
      <c r="G130" s="40" t="s">
        <v>21</v>
      </c>
      <c r="H130" s="128">
        <v>16</v>
      </c>
    </row>
    <row r="131" spans="1:17" ht="25.5">
      <c r="A131" s="268"/>
      <c r="B131" s="31"/>
      <c r="C131" s="66"/>
      <c r="D131" s="67" t="s">
        <v>100</v>
      </c>
      <c r="E131" s="71" t="s">
        <v>101</v>
      </c>
      <c r="F131" s="275"/>
      <c r="G131" s="62" t="s">
        <v>21</v>
      </c>
      <c r="H131" s="124">
        <v>16</v>
      </c>
    </row>
    <row r="132" spans="1:17">
      <c r="A132" s="268"/>
      <c r="B132" s="31"/>
      <c r="C132" s="66"/>
      <c r="D132" s="67"/>
      <c r="E132" s="65" t="s">
        <v>102</v>
      </c>
      <c r="F132" s="90">
        <f>F128</f>
        <v>16</v>
      </c>
      <c r="G132" s="62"/>
      <c r="H132" s="30"/>
    </row>
    <row r="133" spans="1:17">
      <c r="A133" s="268"/>
      <c r="B133" s="31"/>
      <c r="C133" s="66"/>
      <c r="D133" s="67"/>
      <c r="E133" s="65"/>
      <c r="F133" s="68"/>
      <c r="G133" s="62"/>
      <c r="H133" s="30"/>
    </row>
    <row r="134" spans="1:17" s="98" customFormat="1">
      <c r="A134" s="95"/>
      <c r="B134" s="35" t="s">
        <v>54</v>
      </c>
      <c r="C134" s="93"/>
      <c r="D134" s="94"/>
      <c r="E134" s="50" t="s">
        <v>55</v>
      </c>
      <c r="F134" s="100"/>
      <c r="G134" s="101"/>
      <c r="H134" s="42"/>
      <c r="I134"/>
      <c r="J134"/>
      <c r="K134"/>
      <c r="L134"/>
      <c r="Q134"/>
    </row>
    <row r="135" spans="1:17" s="98" customFormat="1">
      <c r="A135" s="95"/>
      <c r="B135" s="35"/>
      <c r="C135" s="93"/>
      <c r="D135" s="94"/>
      <c r="E135" s="50"/>
      <c r="F135" s="100"/>
      <c r="G135" s="101"/>
      <c r="H135" s="42"/>
      <c r="I135"/>
      <c r="J135"/>
      <c r="K135"/>
      <c r="L135"/>
      <c r="Q135"/>
    </row>
    <row r="136" spans="1:17" s="98" customFormat="1">
      <c r="A136" s="34">
        <f>MAX(A$1:A135)+1</f>
        <v>22</v>
      </c>
      <c r="B136" s="35"/>
      <c r="C136" s="36" t="s">
        <v>150</v>
      </c>
      <c r="D136" s="66"/>
      <c r="E136" s="38" t="s">
        <v>151</v>
      </c>
      <c r="F136" s="39"/>
      <c r="G136" s="40" t="s">
        <v>18</v>
      </c>
      <c r="H136" s="52">
        <v>2.48</v>
      </c>
      <c r="I136"/>
      <c r="J136"/>
      <c r="K136"/>
      <c r="L136"/>
      <c r="Q136"/>
    </row>
    <row r="137" spans="1:17" s="98" customFormat="1" ht="25.5">
      <c r="A137" s="95"/>
      <c r="B137" s="35"/>
      <c r="C137" s="37"/>
      <c r="D137" s="67" t="s">
        <v>152</v>
      </c>
      <c r="E137" s="71" t="s">
        <v>153</v>
      </c>
      <c r="F137" s="61"/>
      <c r="G137" s="62" t="s">
        <v>18</v>
      </c>
      <c r="H137" s="99">
        <v>2.48</v>
      </c>
      <c r="I137"/>
      <c r="J137"/>
      <c r="K137"/>
      <c r="L137"/>
      <c r="Q137"/>
    </row>
    <row r="138" spans="1:17" s="98" customFormat="1">
      <c r="A138" s="95"/>
      <c r="B138" s="35"/>
      <c r="C138" s="93"/>
      <c r="D138" s="94"/>
      <c r="E138" s="65" t="s">
        <v>875</v>
      </c>
      <c r="F138" s="212">
        <f>16.5*0.15</f>
        <v>2.4750000000000001</v>
      </c>
      <c r="G138" s="101"/>
      <c r="H138" s="42"/>
      <c r="I138"/>
      <c r="J138"/>
      <c r="K138"/>
      <c r="L138"/>
      <c r="Q138"/>
    </row>
    <row r="139" spans="1:17" s="98" customFormat="1">
      <c r="A139" s="95"/>
      <c r="B139" s="35"/>
      <c r="C139" s="93"/>
      <c r="D139" s="94"/>
      <c r="E139" s="65"/>
      <c r="F139" s="212"/>
      <c r="G139" s="101"/>
      <c r="H139" s="42"/>
      <c r="I139"/>
      <c r="J139"/>
      <c r="K139"/>
      <c r="L139"/>
      <c r="Q139"/>
    </row>
    <row r="140" spans="1:17" s="98" customFormat="1">
      <c r="A140" s="34">
        <f>MAX(A$1:A139)+1</f>
        <v>23</v>
      </c>
      <c r="B140" s="35"/>
      <c r="C140" s="36" t="s">
        <v>237</v>
      </c>
      <c r="D140" s="66"/>
      <c r="E140" s="38" t="s">
        <v>238</v>
      </c>
      <c r="F140" s="39"/>
      <c r="G140" s="40" t="s">
        <v>18</v>
      </c>
      <c r="H140" s="52">
        <v>1.8</v>
      </c>
      <c r="I140"/>
      <c r="J140"/>
      <c r="K140"/>
      <c r="L140"/>
      <c r="Q140"/>
    </row>
    <row r="141" spans="1:17" s="98" customFormat="1" ht="25.5">
      <c r="A141" s="95"/>
      <c r="B141" s="35"/>
      <c r="C141" s="93"/>
      <c r="D141" s="66" t="s">
        <v>239</v>
      </c>
      <c r="E141" s="71" t="s">
        <v>240</v>
      </c>
      <c r="F141" s="61"/>
      <c r="G141" s="62" t="s">
        <v>18</v>
      </c>
      <c r="H141" s="99">
        <v>1.8</v>
      </c>
      <c r="I141"/>
      <c r="J141"/>
      <c r="K141"/>
      <c r="L141"/>
      <c r="Q141"/>
    </row>
    <row r="142" spans="1:17" s="98" customFormat="1">
      <c r="A142" s="95"/>
      <c r="B142" s="35"/>
      <c r="C142" s="93"/>
      <c r="D142" s="94"/>
      <c r="E142" s="65" t="s">
        <v>1418</v>
      </c>
      <c r="F142" s="212">
        <v>1.8</v>
      </c>
      <c r="G142" s="101"/>
      <c r="H142" s="42"/>
      <c r="I142"/>
      <c r="J142"/>
      <c r="K142"/>
      <c r="L142"/>
      <c r="Q142"/>
    </row>
    <row r="143" spans="1:17" s="98" customFormat="1">
      <c r="A143" s="95"/>
      <c r="B143" s="35"/>
      <c r="C143" s="93"/>
      <c r="D143" s="94"/>
      <c r="E143" s="50"/>
      <c r="F143" s="100"/>
      <c r="G143" s="101"/>
      <c r="H143" s="42"/>
      <c r="I143"/>
      <c r="J143"/>
      <c r="K143"/>
      <c r="L143"/>
      <c r="Q143"/>
    </row>
    <row r="144" spans="1:17" ht="25.5">
      <c r="A144" s="34">
        <f>MAX(A$1:A143)+1</f>
        <v>24</v>
      </c>
      <c r="B144" s="43"/>
      <c r="C144" s="36" t="s">
        <v>249</v>
      </c>
      <c r="D144" s="37"/>
      <c r="E144" s="38" t="s">
        <v>250</v>
      </c>
      <c r="F144" s="39"/>
      <c r="G144" s="40" t="s">
        <v>21</v>
      </c>
      <c r="H144" s="64">
        <v>120.5</v>
      </c>
    </row>
    <row r="145" spans="1:17" s="111" customFormat="1" ht="25.5">
      <c r="A145" s="179"/>
      <c r="B145" s="256"/>
      <c r="C145" s="66"/>
      <c r="D145" s="67" t="s">
        <v>251</v>
      </c>
      <c r="E145" s="71" t="s">
        <v>252</v>
      </c>
      <c r="F145" s="61"/>
      <c r="G145" s="62" t="s">
        <v>21</v>
      </c>
      <c r="H145" s="83">
        <v>120.5</v>
      </c>
      <c r="Q145"/>
    </row>
    <row r="146" spans="1:17" s="111" customFormat="1">
      <c r="A146" s="179"/>
      <c r="B146" s="256"/>
      <c r="C146" s="79"/>
      <c r="D146" s="67"/>
      <c r="E146" s="77" t="s">
        <v>878</v>
      </c>
      <c r="F146" s="231">
        <v>60</v>
      </c>
      <c r="G146" s="62"/>
      <c r="H146" s="246"/>
      <c r="Q146"/>
    </row>
    <row r="147" spans="1:17" s="111" customFormat="1">
      <c r="A147" s="179"/>
      <c r="B147" s="256"/>
      <c r="C147" s="79"/>
      <c r="D147" s="67"/>
      <c r="E147" s="77" t="s">
        <v>978</v>
      </c>
      <c r="F147" s="257">
        <v>60.5</v>
      </c>
      <c r="G147" s="62"/>
      <c r="H147" s="246"/>
      <c r="Q147"/>
    </row>
    <row r="148" spans="1:17" s="111" customFormat="1">
      <c r="A148" s="179"/>
      <c r="B148" s="256"/>
      <c r="C148" s="79"/>
      <c r="D148" s="67"/>
      <c r="E148" s="77"/>
      <c r="F148" s="231">
        <f>SUM(F146:F147)</f>
        <v>120.5</v>
      </c>
      <c r="G148" s="62"/>
      <c r="H148" s="246"/>
      <c r="Q148"/>
    </row>
    <row r="149" spans="1:17" s="111" customFormat="1">
      <c r="A149" s="179"/>
      <c r="B149" s="256"/>
      <c r="C149" s="79"/>
      <c r="D149" s="67"/>
      <c r="E149" s="77"/>
      <c r="F149" s="257"/>
      <c r="G149" s="62"/>
      <c r="H149" s="246"/>
      <c r="Q149"/>
    </row>
    <row r="150" spans="1:17" s="111" customFormat="1">
      <c r="A150" s="179"/>
      <c r="B150" s="35" t="s">
        <v>56</v>
      </c>
      <c r="C150" s="93"/>
      <c r="D150" s="94"/>
      <c r="E150" s="96" t="s">
        <v>57</v>
      </c>
      <c r="F150" s="81"/>
      <c r="G150" s="62"/>
      <c r="H150" s="246"/>
      <c r="Q150"/>
    </row>
    <row r="151" spans="1:17" s="111" customFormat="1">
      <c r="A151" s="179"/>
      <c r="B151" s="35"/>
      <c r="C151" s="93"/>
      <c r="D151" s="94"/>
      <c r="E151" s="50"/>
      <c r="F151" s="81"/>
      <c r="G151" s="62"/>
      <c r="H151" s="246"/>
      <c r="Q151"/>
    </row>
    <row r="152" spans="1:17" s="111" customFormat="1">
      <c r="A152" s="34">
        <f>MAX(A$1:A151)+1</f>
        <v>25</v>
      </c>
      <c r="B152" s="256"/>
      <c r="C152" s="36" t="s">
        <v>58</v>
      </c>
      <c r="D152" s="37"/>
      <c r="E152" s="38" t="s">
        <v>59</v>
      </c>
      <c r="F152" s="39"/>
      <c r="G152" s="40" t="s">
        <v>18</v>
      </c>
      <c r="H152" s="64">
        <v>4.28</v>
      </c>
      <c r="Q152"/>
    </row>
    <row r="153" spans="1:17" s="111" customFormat="1">
      <c r="A153" s="179"/>
      <c r="B153" s="256"/>
      <c r="C153" s="66"/>
      <c r="D153" s="67" t="s">
        <v>60</v>
      </c>
      <c r="E153" s="71" t="s">
        <v>61</v>
      </c>
      <c r="F153" s="61"/>
      <c r="G153" s="62" t="s">
        <v>18</v>
      </c>
      <c r="H153" s="83">
        <v>4.28</v>
      </c>
      <c r="Q153"/>
    </row>
    <row r="154" spans="1:17" s="111" customFormat="1">
      <c r="A154" s="179"/>
      <c r="B154" s="256"/>
      <c r="C154" s="66"/>
      <c r="D154" s="67"/>
      <c r="E154" s="65" t="s">
        <v>166</v>
      </c>
      <c r="F154" s="46">
        <f>F138</f>
        <v>2.4750000000000001</v>
      </c>
      <c r="G154" s="62"/>
      <c r="H154" s="83"/>
      <c r="Q154"/>
    </row>
    <row r="155" spans="1:17" s="111" customFormat="1">
      <c r="A155" s="179"/>
      <c r="B155" s="256"/>
      <c r="C155" s="66"/>
      <c r="D155" s="67"/>
      <c r="E155" s="65"/>
      <c r="F155" s="46"/>
      <c r="G155" s="62"/>
      <c r="H155" s="83"/>
      <c r="Q155"/>
    </row>
    <row r="156" spans="1:17" s="111" customFormat="1">
      <c r="A156" s="179"/>
      <c r="B156" s="256"/>
      <c r="C156" s="66"/>
      <c r="D156" s="67"/>
      <c r="E156" s="65" t="s">
        <v>1228</v>
      </c>
      <c r="F156" s="46">
        <f>F142</f>
        <v>1.8</v>
      </c>
      <c r="G156" s="62"/>
      <c r="H156" s="83"/>
      <c r="Q156"/>
    </row>
    <row r="157" spans="1:17" s="111" customFormat="1">
      <c r="A157" s="179"/>
      <c r="B157" s="256"/>
      <c r="C157" s="66"/>
      <c r="D157" s="67"/>
      <c r="E157" s="91" t="s">
        <v>41</v>
      </c>
      <c r="F157" s="123">
        <f>F154+F156</f>
        <v>4.2750000000000004</v>
      </c>
      <c r="G157" s="62"/>
      <c r="H157" s="83"/>
      <c r="Q157"/>
    </row>
    <row r="158" spans="1:17" s="111" customFormat="1">
      <c r="A158" s="179"/>
      <c r="B158" s="256"/>
      <c r="C158" s="66"/>
      <c r="D158" s="67"/>
      <c r="E158" s="71"/>
      <c r="F158" s="61"/>
      <c r="G158" s="62"/>
      <c r="H158" s="83"/>
      <c r="Q158"/>
    </row>
    <row r="159" spans="1:17" s="111" customFormat="1">
      <c r="A159" s="34">
        <f>MAX(A$1:A158)+1</f>
        <v>26</v>
      </c>
      <c r="B159" s="256"/>
      <c r="C159" s="36" t="s">
        <v>175</v>
      </c>
      <c r="D159" s="37"/>
      <c r="E159" s="38" t="s">
        <v>176</v>
      </c>
      <c r="F159" s="39"/>
      <c r="G159" s="40" t="s">
        <v>18</v>
      </c>
      <c r="H159" s="64">
        <v>2.48</v>
      </c>
      <c r="Q159"/>
    </row>
    <row r="160" spans="1:17" s="111" customFormat="1" ht="25.5">
      <c r="A160" s="179"/>
      <c r="B160" s="256"/>
      <c r="C160" s="66"/>
      <c r="D160" s="67" t="s">
        <v>177</v>
      </c>
      <c r="E160" s="71" t="s">
        <v>178</v>
      </c>
      <c r="F160" s="61"/>
      <c r="G160" s="62" t="s">
        <v>18</v>
      </c>
      <c r="H160" s="83">
        <v>2.48</v>
      </c>
      <c r="Q160"/>
    </row>
    <row r="161" spans="1:17" s="111" customFormat="1">
      <c r="A161" s="179"/>
      <c r="B161" s="256"/>
      <c r="C161" s="66"/>
      <c r="D161" s="67"/>
      <c r="E161" s="65" t="s">
        <v>290</v>
      </c>
      <c r="F161" s="46">
        <f>F154</f>
        <v>2.4750000000000001</v>
      </c>
      <c r="G161" s="62"/>
      <c r="H161" s="246"/>
      <c r="Q161"/>
    </row>
    <row r="162" spans="1:17" s="111" customFormat="1">
      <c r="A162" s="179"/>
      <c r="B162" s="256"/>
      <c r="C162" s="66"/>
      <c r="D162" s="67"/>
      <c r="E162" s="65"/>
      <c r="F162" s="46"/>
      <c r="G162" s="62"/>
      <c r="H162" s="246"/>
      <c r="Q162"/>
    </row>
    <row r="163" spans="1:17" s="111" customFormat="1">
      <c r="A163" s="34">
        <f>MAX(A$1:A162)+1</f>
        <v>27</v>
      </c>
      <c r="B163" s="256"/>
      <c r="C163" s="36" t="s">
        <v>50</v>
      </c>
      <c r="D163" s="37"/>
      <c r="E163" s="38" t="s">
        <v>51</v>
      </c>
      <c r="F163" s="39"/>
      <c r="G163" s="40" t="s">
        <v>18</v>
      </c>
      <c r="H163" s="64">
        <v>1.8</v>
      </c>
      <c r="Q163"/>
    </row>
    <row r="164" spans="1:17" s="111" customFormat="1" ht="25.5">
      <c r="A164" s="179"/>
      <c r="B164" s="256"/>
      <c r="C164" s="66"/>
      <c r="D164" s="67" t="s">
        <v>138</v>
      </c>
      <c r="E164" s="71" t="s">
        <v>139</v>
      </c>
      <c r="F164" s="61"/>
      <c r="G164" s="62" t="s">
        <v>18</v>
      </c>
      <c r="H164" s="83">
        <v>1.8</v>
      </c>
      <c r="Q164"/>
    </row>
    <row r="165" spans="1:17" s="111" customFormat="1">
      <c r="A165" s="179"/>
      <c r="B165" s="256"/>
      <c r="C165" s="66"/>
      <c r="D165" s="67"/>
      <c r="E165" s="65" t="s">
        <v>1419</v>
      </c>
      <c r="F165" s="46">
        <f>F142</f>
        <v>1.8</v>
      </c>
      <c r="G165" s="62"/>
      <c r="H165" s="246"/>
      <c r="Q165"/>
    </row>
    <row r="166" spans="1:17" s="111" customFormat="1">
      <c r="A166" s="179"/>
      <c r="B166" s="256"/>
      <c r="C166" s="66"/>
      <c r="D166" s="67"/>
      <c r="E166" s="71"/>
      <c r="F166" s="61"/>
      <c r="G166" s="62"/>
      <c r="H166" s="246"/>
      <c r="Q166"/>
    </row>
    <row r="167" spans="1:17" s="111" customFormat="1">
      <c r="A167" s="34">
        <f>MAX(A$1:A166)+1</f>
        <v>28</v>
      </c>
      <c r="B167" s="43"/>
      <c r="C167" s="36" t="s">
        <v>291</v>
      </c>
      <c r="D167" s="37"/>
      <c r="E167" s="38" t="s">
        <v>292</v>
      </c>
      <c r="F167" s="39"/>
      <c r="G167" s="40" t="s">
        <v>18</v>
      </c>
      <c r="H167" s="64">
        <v>2.48</v>
      </c>
      <c r="Q167"/>
    </row>
    <row r="168" spans="1:17" s="111" customFormat="1" ht="25.5">
      <c r="A168" s="72"/>
      <c r="B168" s="73"/>
      <c r="C168" s="66"/>
      <c r="D168" s="67" t="s">
        <v>293</v>
      </c>
      <c r="E168" s="71" t="s">
        <v>294</v>
      </c>
      <c r="F168" s="61"/>
      <c r="G168" s="62" t="s">
        <v>18</v>
      </c>
      <c r="H168" s="83">
        <v>2.48</v>
      </c>
      <c r="Q168"/>
    </row>
    <row r="169" spans="1:17" s="111" customFormat="1">
      <c r="A169" s="95"/>
      <c r="B169" s="35"/>
      <c r="C169" s="93"/>
      <c r="D169" s="94"/>
      <c r="E169" s="168" t="s">
        <v>295</v>
      </c>
      <c r="F169" s="104">
        <f>F138</f>
        <v>2.4750000000000001</v>
      </c>
      <c r="G169" s="97"/>
      <c r="H169" s="246"/>
      <c r="Q169"/>
    </row>
    <row r="170" spans="1:17" s="111" customFormat="1">
      <c r="A170" s="179"/>
      <c r="B170" s="256"/>
      <c r="C170" s="66"/>
      <c r="D170" s="67"/>
      <c r="E170" s="71"/>
      <c r="F170" s="61"/>
      <c r="G170" s="62"/>
      <c r="H170" s="246"/>
      <c r="Q170"/>
    </row>
    <row r="171" spans="1:17" s="111" customFormat="1">
      <c r="A171" s="34">
        <f>MAX(A$1:A170)+1</f>
        <v>29</v>
      </c>
      <c r="B171" s="256"/>
      <c r="C171" s="36" t="s">
        <v>83</v>
      </c>
      <c r="D171" s="37"/>
      <c r="E171" s="38" t="s">
        <v>84</v>
      </c>
      <c r="F171" s="39"/>
      <c r="G171" s="40" t="s">
        <v>18</v>
      </c>
      <c r="H171" s="64">
        <v>2.48</v>
      </c>
      <c r="Q171"/>
    </row>
    <row r="172" spans="1:17" s="111" customFormat="1" ht="25.5">
      <c r="A172" s="179"/>
      <c r="B172" s="256"/>
      <c r="C172" s="66"/>
      <c r="D172" s="67" t="s">
        <v>85</v>
      </c>
      <c r="E172" s="71" t="s">
        <v>86</v>
      </c>
      <c r="F172" s="61"/>
      <c r="G172" s="62" t="s">
        <v>18</v>
      </c>
      <c r="H172" s="83">
        <v>2.48</v>
      </c>
      <c r="Q172"/>
    </row>
    <row r="173" spans="1:17" s="111" customFormat="1">
      <c r="A173" s="179"/>
      <c r="B173" s="256"/>
      <c r="C173" s="66"/>
      <c r="D173" s="67"/>
      <c r="E173" s="168" t="s">
        <v>184</v>
      </c>
      <c r="F173" s="90">
        <f>F154</f>
        <v>2.4750000000000001</v>
      </c>
      <c r="G173" s="62"/>
      <c r="H173" s="246"/>
      <c r="Q173"/>
    </row>
    <row r="174" spans="1:17" s="111" customFormat="1">
      <c r="A174" s="179"/>
      <c r="B174" s="256"/>
      <c r="C174" s="66"/>
      <c r="D174" s="67"/>
      <c r="E174" s="168"/>
      <c r="F174" s="90"/>
      <c r="G174" s="62"/>
      <c r="H174" s="246"/>
      <c r="Q174"/>
    </row>
    <row r="175" spans="1:17" s="111" customFormat="1" ht="25.5">
      <c r="A175" s="179"/>
      <c r="B175" s="35" t="s">
        <v>324</v>
      </c>
      <c r="C175" s="35"/>
      <c r="D175" s="94"/>
      <c r="E175" s="50" t="s">
        <v>325</v>
      </c>
      <c r="F175" s="90"/>
      <c r="G175" s="62"/>
      <c r="H175" s="246"/>
      <c r="Q175"/>
    </row>
    <row r="176" spans="1:17" s="111" customFormat="1">
      <c r="A176" s="179"/>
      <c r="B176" s="270"/>
      <c r="C176" s="35"/>
      <c r="D176" s="94"/>
      <c r="E176" s="50"/>
      <c r="F176" s="90"/>
      <c r="G176" s="62"/>
      <c r="H176" s="246"/>
      <c r="Q176"/>
    </row>
    <row r="177" spans="1:17" s="111" customFormat="1" ht="25.5">
      <c r="A177" s="34">
        <f>MAX(A$1:A175)+1</f>
        <v>30</v>
      </c>
      <c r="B177" s="256"/>
      <c r="C177" s="36" t="s">
        <v>326</v>
      </c>
      <c r="D177" s="37"/>
      <c r="E177" s="38" t="s">
        <v>327</v>
      </c>
      <c r="F177" s="39"/>
      <c r="G177" s="40" t="s">
        <v>21</v>
      </c>
      <c r="H177" s="128">
        <v>22.05</v>
      </c>
      <c r="Q177"/>
    </row>
    <row r="178" spans="1:17" s="111" customFormat="1" ht="25.5">
      <c r="A178" s="179"/>
      <c r="B178" s="256"/>
      <c r="C178" s="66"/>
      <c r="D178" s="67" t="s">
        <v>328</v>
      </c>
      <c r="E178" s="71" t="s">
        <v>329</v>
      </c>
      <c r="F178" s="61"/>
      <c r="G178" s="62" t="s">
        <v>21</v>
      </c>
      <c r="H178" s="124">
        <v>4.4399999999999995</v>
      </c>
      <c r="Q178"/>
    </row>
    <row r="179" spans="1:17" s="111" customFormat="1" ht="25.5">
      <c r="A179" s="179"/>
      <c r="B179" s="256"/>
      <c r="C179" s="66"/>
      <c r="D179" s="67"/>
      <c r="E179" s="65" t="s">
        <v>1420</v>
      </c>
      <c r="F179" s="68">
        <f>0.12*37</f>
        <v>4.4399999999999995</v>
      </c>
      <c r="G179" s="62"/>
      <c r="H179" s="124"/>
      <c r="Q179"/>
    </row>
    <row r="180" spans="1:17" s="111" customFormat="1" ht="25.5">
      <c r="A180" s="179"/>
      <c r="B180" s="256"/>
      <c r="C180" s="66"/>
      <c r="D180" s="67" t="s">
        <v>332</v>
      </c>
      <c r="E180" s="71" t="s">
        <v>333</v>
      </c>
      <c r="F180" s="61"/>
      <c r="G180" s="62" t="s">
        <v>21</v>
      </c>
      <c r="H180" s="124">
        <v>17.61</v>
      </c>
      <c r="Q180"/>
    </row>
    <row r="181" spans="1:17" s="111" customFormat="1">
      <c r="A181" s="179"/>
      <c r="B181" s="256"/>
      <c r="C181" s="66"/>
      <c r="D181" s="67"/>
      <c r="E181" s="168" t="s">
        <v>1421</v>
      </c>
      <c r="F181" s="90">
        <f>9*0.125</f>
        <v>1.125</v>
      </c>
      <c r="G181" s="62"/>
      <c r="H181" s="246"/>
      <c r="Q181"/>
    </row>
    <row r="182" spans="1:17" s="111" customFormat="1" ht="25.5">
      <c r="A182" s="179"/>
      <c r="B182" s="256"/>
      <c r="C182" s="66"/>
      <c r="D182" s="67"/>
      <c r="E182" s="168" t="s">
        <v>1422</v>
      </c>
      <c r="F182" s="90">
        <f>1*4*7/2</f>
        <v>14</v>
      </c>
      <c r="G182" s="62"/>
      <c r="H182" s="246"/>
      <c r="Q182"/>
    </row>
    <row r="183" spans="1:17" s="111" customFormat="1">
      <c r="A183" s="179"/>
      <c r="B183" s="256"/>
      <c r="C183" s="66"/>
      <c r="D183" s="67"/>
      <c r="E183" s="168" t="s">
        <v>1423</v>
      </c>
      <c r="F183" s="90">
        <f>1*0.12*(2/3)*2*8</f>
        <v>1.2799999999999998</v>
      </c>
      <c r="G183" s="62"/>
      <c r="H183" s="246"/>
      <c r="Q183"/>
    </row>
    <row r="184" spans="1:17" s="111" customFormat="1">
      <c r="A184" s="179"/>
      <c r="B184" s="256"/>
      <c r="C184" s="66"/>
      <c r="D184" s="67"/>
      <c r="E184" s="168" t="s">
        <v>1424</v>
      </c>
      <c r="F184" s="138">
        <f>1*1.2</f>
        <v>1.2</v>
      </c>
      <c r="G184" s="62"/>
      <c r="H184" s="246"/>
      <c r="Q184"/>
    </row>
    <row r="185" spans="1:17" s="111" customFormat="1">
      <c r="A185" s="179"/>
      <c r="B185" s="256"/>
      <c r="C185" s="66"/>
      <c r="D185" s="67"/>
      <c r="E185" s="168"/>
      <c r="F185" s="90">
        <f>SUM(F181:F184)</f>
        <v>17.605</v>
      </c>
      <c r="G185" s="62"/>
      <c r="H185" s="246"/>
      <c r="Q185"/>
    </row>
    <row r="186" spans="1:17" s="111" customFormat="1">
      <c r="A186" s="179"/>
      <c r="B186" s="256"/>
      <c r="C186" s="66"/>
      <c r="D186" s="67"/>
      <c r="E186" s="84" t="s">
        <v>999</v>
      </c>
      <c r="F186" s="90"/>
      <c r="G186" s="62"/>
      <c r="H186" s="246"/>
      <c r="Q186"/>
    </row>
    <row r="187" spans="1:17" s="111" customFormat="1">
      <c r="A187" s="179"/>
      <c r="B187" s="256"/>
      <c r="C187" s="66"/>
      <c r="D187" s="67"/>
      <c r="E187" s="65" t="s">
        <v>1000</v>
      </c>
      <c r="F187" s="90"/>
      <c r="G187" s="62"/>
      <c r="H187" s="246"/>
      <c r="Q187"/>
    </row>
    <row r="188" spans="1:17" s="111" customFormat="1" ht="63.75">
      <c r="A188" s="179"/>
      <c r="B188" s="256"/>
      <c r="C188" s="66"/>
      <c r="D188" s="67"/>
      <c r="E188" s="65" t="s">
        <v>1001</v>
      </c>
      <c r="F188" s="90"/>
      <c r="G188" s="62"/>
      <c r="H188" s="246"/>
      <c r="Q188"/>
    </row>
    <row r="189" spans="1:17" s="111" customFormat="1" ht="38.25">
      <c r="A189" s="179"/>
      <c r="B189" s="256"/>
      <c r="C189" s="66"/>
      <c r="D189" s="67"/>
      <c r="E189" s="65" t="s">
        <v>1002</v>
      </c>
      <c r="F189" s="90"/>
      <c r="G189" s="62"/>
      <c r="H189" s="246"/>
      <c r="Q189"/>
    </row>
    <row r="190" spans="1:17" s="111" customFormat="1" ht="25.5">
      <c r="A190" s="179"/>
      <c r="B190" s="256"/>
      <c r="C190" s="66"/>
      <c r="D190" s="67"/>
      <c r="E190" s="65" t="s">
        <v>1003</v>
      </c>
      <c r="F190" s="90"/>
      <c r="G190" s="62"/>
      <c r="H190" s="246"/>
      <c r="Q190"/>
    </row>
    <row r="191" spans="1:17" s="111" customFormat="1">
      <c r="A191" s="179"/>
      <c r="B191" s="256"/>
      <c r="C191" s="66"/>
      <c r="D191" s="67"/>
      <c r="E191" s="71"/>
      <c r="F191" s="61"/>
      <c r="G191" s="62"/>
      <c r="H191" s="246"/>
      <c r="Q191"/>
    </row>
    <row r="192" spans="1:17" s="98" customFormat="1" ht="25.5">
      <c r="A192" s="34"/>
      <c r="B192" s="35" t="s">
        <v>261</v>
      </c>
      <c r="C192" s="35"/>
      <c r="D192" s="94"/>
      <c r="E192" s="50" t="s">
        <v>262</v>
      </c>
      <c r="F192" s="100"/>
      <c r="G192" s="97"/>
      <c r="H192" s="42"/>
      <c r="I192"/>
      <c r="J192"/>
      <c r="K192"/>
      <c r="L192"/>
      <c r="Q192"/>
    </row>
    <row r="193" spans="1:17" s="98" customFormat="1">
      <c r="A193" s="145"/>
      <c r="B193" s="35"/>
      <c r="C193" s="35"/>
      <c r="D193" s="94"/>
      <c r="E193" s="50"/>
      <c r="F193" s="100"/>
      <c r="G193" s="97"/>
      <c r="H193" s="42"/>
      <c r="I193"/>
      <c r="J193"/>
      <c r="K193"/>
      <c r="L193"/>
      <c r="Q193"/>
    </row>
    <row r="194" spans="1:17" s="98" customFormat="1" ht="25.5">
      <c r="A194" s="34">
        <f>MAX(A$1:A193)+1</f>
        <v>31</v>
      </c>
      <c r="B194" s="35"/>
      <c r="C194" s="36" t="s">
        <v>296</v>
      </c>
      <c r="D194" s="37"/>
      <c r="E194" s="38" t="s">
        <v>297</v>
      </c>
      <c r="F194" s="39"/>
      <c r="G194" s="40" t="s">
        <v>21</v>
      </c>
      <c r="H194" s="128">
        <v>260</v>
      </c>
      <c r="I194"/>
      <c r="J194"/>
      <c r="K194"/>
      <c r="L194"/>
      <c r="Q194"/>
    </row>
    <row r="195" spans="1:17" s="98" customFormat="1" ht="25.5">
      <c r="A195" s="145"/>
      <c r="B195" s="35"/>
      <c r="C195" s="36"/>
      <c r="D195" s="67" t="s">
        <v>1425</v>
      </c>
      <c r="E195" s="71" t="s">
        <v>1426</v>
      </c>
      <c r="F195" s="61"/>
      <c r="G195" s="62" t="s">
        <v>21</v>
      </c>
      <c r="H195" s="124">
        <v>80</v>
      </c>
      <c r="I195"/>
      <c r="J195"/>
      <c r="K195"/>
      <c r="L195"/>
      <c r="Q195"/>
    </row>
    <row r="196" spans="1:17" s="98" customFormat="1">
      <c r="A196" s="145"/>
      <c r="B196" s="35"/>
      <c r="C196" s="36"/>
      <c r="D196" s="37"/>
      <c r="E196" s="65" t="s">
        <v>1427</v>
      </c>
      <c r="F196" s="46">
        <v>80</v>
      </c>
      <c r="G196" s="40"/>
      <c r="H196" s="128"/>
      <c r="I196"/>
      <c r="J196"/>
      <c r="K196"/>
      <c r="L196"/>
      <c r="Q196"/>
    </row>
    <row r="197" spans="1:17" s="98" customFormat="1" ht="38.25">
      <c r="A197" s="145"/>
      <c r="B197" s="35"/>
      <c r="C197" s="66"/>
      <c r="D197" s="67" t="s">
        <v>1026</v>
      </c>
      <c r="E197" s="71" t="s">
        <v>1027</v>
      </c>
      <c r="F197" s="61"/>
      <c r="G197" s="62" t="s">
        <v>21</v>
      </c>
      <c r="H197" s="124">
        <v>180</v>
      </c>
      <c r="I197"/>
      <c r="J197"/>
      <c r="K197"/>
      <c r="L197"/>
      <c r="Q197"/>
    </row>
    <row r="198" spans="1:17" s="98" customFormat="1">
      <c r="A198" s="145"/>
      <c r="B198" s="35"/>
      <c r="C198" s="66"/>
      <c r="D198" s="67"/>
      <c r="E198" s="65" t="s">
        <v>1428</v>
      </c>
      <c r="F198" s="46">
        <v>180</v>
      </c>
      <c r="G198" s="62"/>
      <c r="H198" s="42"/>
      <c r="I198"/>
      <c r="J198"/>
      <c r="K198"/>
      <c r="L198"/>
      <c r="Q198"/>
    </row>
    <row r="199" spans="1:17" s="98" customFormat="1">
      <c r="A199" s="145"/>
      <c r="B199" s="35"/>
      <c r="C199" s="66"/>
      <c r="D199" s="67"/>
      <c r="E199" s="71"/>
      <c r="F199" s="61"/>
      <c r="G199" s="62"/>
      <c r="H199" s="42"/>
      <c r="I199"/>
      <c r="J199"/>
      <c r="K199"/>
      <c r="L199"/>
      <c r="Q199"/>
    </row>
    <row r="200" spans="1:17" s="98" customFormat="1" ht="25.5">
      <c r="A200" s="34">
        <f>MAX(A$1:A199)+1</f>
        <v>32</v>
      </c>
      <c r="B200" s="35"/>
      <c r="C200" s="36" t="s">
        <v>298</v>
      </c>
      <c r="D200" s="37"/>
      <c r="E200" s="38" t="s">
        <v>299</v>
      </c>
      <c r="F200" s="39"/>
      <c r="G200" s="40" t="s">
        <v>18</v>
      </c>
      <c r="H200" s="128">
        <v>4.8</v>
      </c>
      <c r="I200"/>
      <c r="J200"/>
      <c r="K200"/>
      <c r="L200"/>
      <c r="Q200"/>
    </row>
    <row r="201" spans="1:17" s="98" customFormat="1" ht="25.5">
      <c r="A201" s="145"/>
      <c r="B201" s="35"/>
      <c r="C201" s="66"/>
      <c r="D201" s="67" t="s">
        <v>334</v>
      </c>
      <c r="E201" s="71" t="s">
        <v>335</v>
      </c>
      <c r="F201" s="61"/>
      <c r="G201" s="62" t="s">
        <v>18</v>
      </c>
      <c r="H201" s="124">
        <v>4.8</v>
      </c>
      <c r="I201"/>
      <c r="J201"/>
      <c r="K201"/>
      <c r="L201"/>
      <c r="Q201"/>
    </row>
    <row r="202" spans="1:17" s="98" customFormat="1" ht="26.25">
      <c r="A202" s="145"/>
      <c r="B202" s="35"/>
      <c r="C202" s="66"/>
      <c r="D202" s="67"/>
      <c r="E202" s="68" t="s">
        <v>1429</v>
      </c>
      <c r="F202" s="46">
        <f>0.06*80</f>
        <v>4.8</v>
      </c>
      <c r="G202" s="62"/>
      <c r="H202" s="42"/>
      <c r="I202"/>
      <c r="J202"/>
      <c r="K202"/>
      <c r="L202"/>
      <c r="Q202"/>
    </row>
    <row r="203" spans="1:17" s="98" customFormat="1">
      <c r="A203" s="145"/>
      <c r="B203" s="35"/>
      <c r="C203" s="35"/>
      <c r="D203" s="94"/>
      <c r="E203" s="50"/>
      <c r="F203" s="100"/>
      <c r="G203" s="97"/>
      <c r="H203" s="42"/>
      <c r="I203"/>
      <c r="J203"/>
      <c r="K203"/>
      <c r="L203"/>
      <c r="Q203"/>
    </row>
    <row r="204" spans="1:17" s="98" customFormat="1" ht="25.5">
      <c r="A204" s="34">
        <f>MAX(A$1:A203)+1</f>
        <v>33</v>
      </c>
      <c r="B204" s="35"/>
      <c r="C204" s="36" t="s">
        <v>300</v>
      </c>
      <c r="D204" s="37"/>
      <c r="E204" s="38" t="s">
        <v>301</v>
      </c>
      <c r="F204" s="39"/>
      <c r="G204" s="40" t="s">
        <v>18</v>
      </c>
      <c r="H204" s="64">
        <v>7.2</v>
      </c>
      <c r="I204"/>
      <c r="J204"/>
      <c r="K204"/>
      <c r="L204"/>
      <c r="Q204"/>
    </row>
    <row r="205" spans="1:17" s="98" customFormat="1" ht="25.5">
      <c r="A205" s="145"/>
      <c r="B205" s="35"/>
      <c r="C205" s="66"/>
      <c r="D205" s="67" t="s">
        <v>302</v>
      </c>
      <c r="E205" s="71" t="s">
        <v>303</v>
      </c>
      <c r="F205" s="61"/>
      <c r="G205" s="62" t="s">
        <v>18</v>
      </c>
      <c r="H205" s="83">
        <v>7.2</v>
      </c>
      <c r="I205"/>
      <c r="J205"/>
      <c r="K205"/>
      <c r="L205"/>
      <c r="Q205"/>
    </row>
    <row r="206" spans="1:17" s="98" customFormat="1" ht="25.5">
      <c r="A206" s="145"/>
      <c r="B206" s="35"/>
      <c r="C206" s="35"/>
      <c r="D206" s="94"/>
      <c r="E206" s="65" t="s">
        <v>1430</v>
      </c>
      <c r="F206" s="212">
        <f>0.04*180</f>
        <v>7.2</v>
      </c>
      <c r="G206" s="97"/>
      <c r="H206" s="42"/>
      <c r="I206"/>
      <c r="J206"/>
      <c r="K206"/>
      <c r="L206"/>
      <c r="Q206"/>
    </row>
    <row r="207" spans="1:17" s="98" customFormat="1">
      <c r="A207" s="145"/>
      <c r="B207" s="35"/>
      <c r="C207" s="35"/>
      <c r="D207" s="94"/>
      <c r="E207" s="50"/>
      <c r="F207" s="100"/>
      <c r="G207" s="97"/>
      <c r="H207" s="42"/>
      <c r="I207"/>
      <c r="J207"/>
      <c r="K207"/>
      <c r="L207"/>
      <c r="Q207"/>
    </row>
    <row r="208" spans="1:17" s="98" customFormat="1" ht="25.5">
      <c r="A208" s="34">
        <f>MAX(A$1:A207)+1</f>
        <v>34</v>
      </c>
      <c r="B208" s="35"/>
      <c r="C208" s="36" t="s">
        <v>773</v>
      </c>
      <c r="D208" s="37"/>
      <c r="E208" s="38" t="s">
        <v>774</v>
      </c>
      <c r="F208" s="39"/>
      <c r="G208" s="40" t="s">
        <v>21</v>
      </c>
      <c r="H208" s="52">
        <v>22</v>
      </c>
      <c r="I208"/>
      <c r="J208"/>
      <c r="K208"/>
      <c r="L208"/>
      <c r="Q208"/>
    </row>
    <row r="209" spans="1:17" s="98" customFormat="1" ht="38.25">
      <c r="A209" s="145"/>
      <c r="B209" s="35"/>
      <c r="C209" s="35"/>
      <c r="D209" s="94"/>
      <c r="E209" s="65" t="s">
        <v>1431</v>
      </c>
      <c r="F209" s="212">
        <f>0.5*44</f>
        <v>22</v>
      </c>
      <c r="G209" s="97"/>
      <c r="H209" s="42"/>
      <c r="I209"/>
      <c r="J209"/>
      <c r="K209"/>
      <c r="L209"/>
      <c r="Q209"/>
    </row>
    <row r="210" spans="1:17" s="98" customFormat="1">
      <c r="A210" s="145"/>
      <c r="B210" s="35"/>
      <c r="C210" s="35"/>
      <c r="D210" s="94"/>
      <c r="E210" s="65"/>
      <c r="F210" s="212"/>
      <c r="G210" s="97"/>
      <c r="H210" s="42"/>
      <c r="I210"/>
      <c r="J210"/>
      <c r="K210"/>
      <c r="L210"/>
      <c r="Q210"/>
    </row>
    <row r="211" spans="1:17" s="98" customFormat="1" ht="25.5">
      <c r="A211" s="34">
        <f>MAX(A$1:A210)+1</f>
        <v>35</v>
      </c>
      <c r="B211" s="35"/>
      <c r="C211" s="36" t="s">
        <v>464</v>
      </c>
      <c r="D211" s="37"/>
      <c r="E211" s="38" t="s">
        <v>465</v>
      </c>
      <c r="F211" s="39"/>
      <c r="G211" s="40" t="s">
        <v>21</v>
      </c>
      <c r="H211" s="128">
        <v>55</v>
      </c>
      <c r="I211"/>
      <c r="J211"/>
      <c r="K211"/>
      <c r="L211"/>
      <c r="Q211"/>
    </row>
    <row r="212" spans="1:17" s="98" customFormat="1" ht="25.5">
      <c r="A212" s="145"/>
      <c r="B212" s="35"/>
      <c r="C212" s="66"/>
      <c r="D212" s="67" t="s">
        <v>466</v>
      </c>
      <c r="E212" s="71" t="s">
        <v>467</v>
      </c>
      <c r="F212" s="61"/>
      <c r="G212" s="62" t="s">
        <v>21</v>
      </c>
      <c r="H212" s="124">
        <v>11</v>
      </c>
      <c r="I212"/>
      <c r="J212"/>
      <c r="K212"/>
      <c r="L212"/>
      <c r="Q212"/>
    </row>
    <row r="213" spans="1:17" s="98" customFormat="1" ht="38.25">
      <c r="A213" s="145"/>
      <c r="B213" s="35"/>
      <c r="C213" s="66"/>
      <c r="D213" s="67"/>
      <c r="E213" s="65" t="s">
        <v>1041</v>
      </c>
      <c r="F213" s="46">
        <v>7</v>
      </c>
      <c r="G213" s="62"/>
      <c r="H213" s="42"/>
      <c r="I213"/>
      <c r="J213"/>
      <c r="K213"/>
      <c r="L213"/>
      <c r="Q213"/>
    </row>
    <row r="214" spans="1:17" s="98" customFormat="1" ht="38.25">
      <c r="A214" s="145"/>
      <c r="B214" s="35"/>
      <c r="C214" s="66"/>
      <c r="D214" s="67"/>
      <c r="E214" s="65" t="s">
        <v>1042</v>
      </c>
      <c r="F214" s="69">
        <v>4</v>
      </c>
      <c r="G214" s="62"/>
      <c r="H214" s="42"/>
      <c r="I214"/>
      <c r="J214"/>
      <c r="K214"/>
      <c r="L214"/>
      <c r="Q214"/>
    </row>
    <row r="215" spans="1:17" s="98" customFormat="1">
      <c r="A215" s="145"/>
      <c r="B215" s="35"/>
      <c r="C215" s="66"/>
      <c r="D215" s="67"/>
      <c r="E215" s="71"/>
      <c r="F215" s="46">
        <f>SUM(F213:F214)</f>
        <v>11</v>
      </c>
      <c r="G215" s="62"/>
      <c r="H215" s="42"/>
      <c r="I215"/>
      <c r="J215"/>
      <c r="K215"/>
      <c r="L215"/>
      <c r="Q215"/>
    </row>
    <row r="216" spans="1:17" s="98" customFormat="1" ht="25.5">
      <c r="A216" s="145"/>
      <c r="B216" s="35"/>
      <c r="C216" s="66"/>
      <c r="D216" s="67" t="s">
        <v>488</v>
      </c>
      <c r="E216" s="71" t="s">
        <v>489</v>
      </c>
      <c r="F216" s="61"/>
      <c r="G216" s="62" t="s">
        <v>21</v>
      </c>
      <c r="H216" s="124">
        <v>44</v>
      </c>
      <c r="I216"/>
      <c r="J216"/>
      <c r="K216"/>
      <c r="L216"/>
      <c r="Q216"/>
    </row>
    <row r="217" spans="1:17" s="98" customFormat="1" ht="25.5">
      <c r="A217" s="145"/>
      <c r="B217" s="35"/>
      <c r="C217" s="35"/>
      <c r="D217" s="94"/>
      <c r="E217" s="65" t="s">
        <v>1432</v>
      </c>
      <c r="F217" s="212">
        <v>44</v>
      </c>
      <c r="G217" s="97"/>
      <c r="H217" s="42"/>
      <c r="I217"/>
      <c r="J217"/>
      <c r="K217"/>
      <c r="L217"/>
      <c r="Q217"/>
    </row>
    <row r="218" spans="1:17" s="98" customFormat="1">
      <c r="A218" s="145"/>
      <c r="B218" s="35"/>
      <c r="C218" s="35"/>
      <c r="D218" s="94"/>
      <c r="E218" s="65"/>
      <c r="F218" s="212"/>
      <c r="G218" s="97"/>
      <c r="H218" s="42"/>
      <c r="I218"/>
      <c r="J218"/>
      <c r="K218"/>
      <c r="L218"/>
      <c r="Q218"/>
    </row>
    <row r="219" spans="1:17" s="98" customFormat="1" ht="25.5">
      <c r="A219" s="34">
        <f>MAX(A$1:A218)+1</f>
        <v>36</v>
      </c>
      <c r="B219" s="43"/>
      <c r="C219" s="36" t="s">
        <v>263</v>
      </c>
      <c r="D219" s="37"/>
      <c r="E219" s="38" t="s">
        <v>818</v>
      </c>
      <c r="F219" s="39"/>
      <c r="G219" s="40" t="s">
        <v>36</v>
      </c>
      <c r="H219" s="64">
        <v>48</v>
      </c>
      <c r="I219" s="208"/>
      <c r="J219"/>
      <c r="K219"/>
      <c r="L219"/>
      <c r="Q219"/>
    </row>
    <row r="220" spans="1:17" s="98" customFormat="1" ht="26.25">
      <c r="A220" s="283"/>
      <c r="B220" s="35"/>
      <c r="C220" s="35"/>
      <c r="D220" s="94"/>
      <c r="E220" s="68" t="s">
        <v>1044</v>
      </c>
      <c r="F220" s="90">
        <v>26</v>
      </c>
      <c r="G220" s="97"/>
      <c r="H220" s="124"/>
      <c r="I220" s="693"/>
      <c r="J220"/>
      <c r="K220"/>
      <c r="L220"/>
      <c r="Q220"/>
    </row>
    <row r="221" spans="1:17" s="98" customFormat="1" ht="26.25">
      <c r="A221" s="698"/>
      <c r="B221" s="35"/>
      <c r="C221" s="35"/>
      <c r="D221" s="94"/>
      <c r="E221" s="68" t="s">
        <v>1046</v>
      </c>
      <c r="F221" s="138">
        <v>22</v>
      </c>
      <c r="G221" s="97"/>
      <c r="H221" s="124"/>
      <c r="I221" s="693"/>
      <c r="J221"/>
      <c r="K221"/>
      <c r="L221"/>
      <c r="Q221"/>
    </row>
    <row r="222" spans="1:17" s="98" customFormat="1">
      <c r="A222" s="698"/>
      <c r="B222" s="35"/>
      <c r="C222" s="35"/>
      <c r="D222" s="94"/>
      <c r="E222" s="68"/>
      <c r="F222" s="90">
        <f>SUM(F220:F221)</f>
        <v>48</v>
      </c>
      <c r="G222" s="97"/>
      <c r="H222" s="124"/>
      <c r="I222" s="693"/>
      <c r="J222"/>
      <c r="K222"/>
      <c r="L222"/>
      <c r="Q222"/>
    </row>
    <row r="223" spans="1:17" s="98" customFormat="1">
      <c r="A223" s="145"/>
      <c r="B223" s="35"/>
      <c r="C223" s="35"/>
      <c r="D223" s="94"/>
      <c r="E223" s="65"/>
      <c r="F223" s="212"/>
      <c r="G223" s="97"/>
      <c r="H223" s="42"/>
      <c r="I223"/>
      <c r="J223"/>
      <c r="K223"/>
      <c r="L223"/>
      <c r="Q223"/>
    </row>
    <row r="224" spans="1:17" s="98" customFormat="1" ht="25.5">
      <c r="A224" s="34">
        <f>MAX(A$1:A223)+1</f>
        <v>37</v>
      </c>
      <c r="B224" s="35"/>
      <c r="C224" s="36" t="s">
        <v>266</v>
      </c>
      <c r="D224" s="37"/>
      <c r="E224" s="38" t="s">
        <v>267</v>
      </c>
      <c r="F224" s="39"/>
      <c r="G224" s="40" t="s">
        <v>33</v>
      </c>
      <c r="H224" s="64">
        <v>4</v>
      </c>
      <c r="I224" s="120"/>
      <c r="J224"/>
      <c r="K224"/>
      <c r="L224"/>
      <c r="Q224"/>
    </row>
    <row r="225" spans="1:17" s="98" customFormat="1" ht="25.5">
      <c r="A225" s="145"/>
      <c r="B225" s="35"/>
      <c r="C225" s="35"/>
      <c r="D225" s="67" t="s">
        <v>268</v>
      </c>
      <c r="E225" s="71" t="s">
        <v>269</v>
      </c>
      <c r="F225" s="61"/>
      <c r="G225" s="62" t="s">
        <v>33</v>
      </c>
      <c r="H225" s="83">
        <v>4</v>
      </c>
      <c r="I225"/>
      <c r="J225"/>
      <c r="K225"/>
      <c r="L225"/>
      <c r="Q225"/>
    </row>
    <row r="226" spans="1:17" s="98" customFormat="1">
      <c r="A226" s="145"/>
      <c r="B226" s="35"/>
      <c r="C226" s="35"/>
      <c r="D226" s="94"/>
      <c r="E226" s="84" t="s">
        <v>1049</v>
      </c>
      <c r="F226" s="212"/>
      <c r="G226" s="97"/>
      <c r="H226" s="42"/>
      <c r="I226"/>
      <c r="J226"/>
      <c r="K226"/>
      <c r="L226"/>
      <c r="Q226"/>
    </row>
    <row r="227" spans="1:17" s="98" customFormat="1">
      <c r="A227" s="145"/>
      <c r="B227" s="35"/>
      <c r="C227" s="35"/>
      <c r="D227" s="94"/>
      <c r="E227" s="77">
        <v>201</v>
      </c>
      <c r="F227" s="212">
        <v>1</v>
      </c>
      <c r="G227" s="97"/>
      <c r="H227" s="42">
        <v>900</v>
      </c>
      <c r="I227"/>
      <c r="J227"/>
      <c r="K227"/>
      <c r="L227"/>
      <c r="M227" s="699"/>
      <c r="Q227"/>
    </row>
    <row r="228" spans="1:17" s="98" customFormat="1">
      <c r="A228" s="145"/>
      <c r="B228" s="35"/>
      <c r="C228" s="35"/>
      <c r="D228" s="94"/>
      <c r="E228" s="77" t="s">
        <v>1433</v>
      </c>
      <c r="F228" s="212">
        <v>1</v>
      </c>
      <c r="G228" s="97"/>
      <c r="H228" s="42">
        <v>600</v>
      </c>
      <c r="I228"/>
      <c r="J228"/>
      <c r="K228"/>
      <c r="L228"/>
      <c r="M228" s="699"/>
      <c r="Q228"/>
    </row>
    <row r="229" spans="1:17" s="98" customFormat="1">
      <c r="A229" s="145"/>
      <c r="B229" s="35"/>
      <c r="C229" s="35"/>
      <c r="D229" s="94"/>
      <c r="E229" s="77" t="s">
        <v>1434</v>
      </c>
      <c r="F229" s="212">
        <v>1</v>
      </c>
      <c r="G229" s="97"/>
      <c r="H229" s="42">
        <v>420</v>
      </c>
      <c r="I229"/>
      <c r="J229"/>
      <c r="K229"/>
      <c r="L229"/>
      <c r="M229" s="699"/>
      <c r="Q229"/>
    </row>
    <row r="230" spans="1:17" s="98" customFormat="1">
      <c r="A230" s="145"/>
      <c r="B230" s="35"/>
      <c r="C230" s="35"/>
      <c r="D230" s="94"/>
      <c r="E230" s="77" t="s">
        <v>1435</v>
      </c>
      <c r="F230" s="213">
        <v>1</v>
      </c>
      <c r="G230" s="97"/>
      <c r="H230" s="42" t="s">
        <v>1436</v>
      </c>
      <c r="I230"/>
      <c r="J230"/>
      <c r="K230"/>
      <c r="L230"/>
      <c r="M230" s="699"/>
      <c r="Q230"/>
    </row>
    <row r="231" spans="1:17" s="98" customFormat="1">
      <c r="A231" s="145"/>
      <c r="B231" s="35"/>
      <c r="C231" s="35"/>
      <c r="D231" s="94"/>
      <c r="E231" s="77"/>
      <c r="F231" s="212">
        <f>SUM(F227:F230)</f>
        <v>4</v>
      </c>
      <c r="G231" s="97"/>
      <c r="H231" s="42"/>
      <c r="I231"/>
      <c r="J231"/>
      <c r="K231"/>
      <c r="L231"/>
      <c r="Q231"/>
    </row>
    <row r="232" spans="1:17" s="98" customFormat="1">
      <c r="A232" s="145"/>
      <c r="B232" s="35"/>
      <c r="C232" s="35"/>
      <c r="D232" s="94"/>
      <c r="E232" s="77" t="s">
        <v>1437</v>
      </c>
      <c r="F232" s="212"/>
      <c r="G232" s="97"/>
      <c r="H232" s="42"/>
      <c r="I232"/>
      <c r="J232"/>
      <c r="K232"/>
      <c r="L232"/>
      <c r="Q232"/>
    </row>
    <row r="233" spans="1:17" s="98" customFormat="1">
      <c r="A233" s="145"/>
      <c r="B233" s="35"/>
      <c r="C233" s="35"/>
      <c r="D233" s="94"/>
      <c r="E233" s="50"/>
      <c r="F233" s="100"/>
      <c r="G233" s="97"/>
      <c r="H233" s="42"/>
      <c r="I233"/>
      <c r="J233"/>
      <c r="K233"/>
      <c r="L233"/>
      <c r="Q233"/>
    </row>
    <row r="234" spans="1:17" s="98" customFormat="1">
      <c r="A234" s="34">
        <f>MAX(A$1:A233)+1</f>
        <v>38</v>
      </c>
      <c r="B234" s="35"/>
      <c r="C234" s="36" t="s">
        <v>373</v>
      </c>
      <c r="D234" s="37"/>
      <c r="E234" s="38" t="s">
        <v>374</v>
      </c>
      <c r="F234" s="39"/>
      <c r="G234" s="40" t="s">
        <v>36</v>
      </c>
      <c r="H234" s="64">
        <v>44</v>
      </c>
      <c r="I234"/>
      <c r="J234"/>
      <c r="K234"/>
      <c r="L234"/>
      <c r="Q234"/>
    </row>
    <row r="235" spans="1:17" s="98" customFormat="1">
      <c r="A235" s="145"/>
      <c r="B235" s="35"/>
      <c r="C235" s="66"/>
      <c r="D235" s="67" t="s">
        <v>375</v>
      </c>
      <c r="E235" s="71" t="s">
        <v>376</v>
      </c>
      <c r="F235" s="61"/>
      <c r="G235" s="62" t="s">
        <v>36</v>
      </c>
      <c r="H235" s="83">
        <v>44</v>
      </c>
      <c r="I235"/>
      <c r="J235"/>
      <c r="K235"/>
      <c r="L235"/>
      <c r="Q235"/>
    </row>
    <row r="236" spans="1:17" s="98" customFormat="1" ht="38.25">
      <c r="A236" s="145"/>
      <c r="B236" s="35"/>
      <c r="C236" s="35"/>
      <c r="D236" s="94"/>
      <c r="E236" s="65" t="s">
        <v>1438</v>
      </c>
      <c r="F236" s="212">
        <v>44</v>
      </c>
      <c r="G236" s="97"/>
      <c r="H236" s="42"/>
      <c r="I236"/>
      <c r="J236"/>
      <c r="K236"/>
      <c r="L236"/>
      <c r="Q236"/>
    </row>
    <row r="237" spans="1:17" s="98" customFormat="1">
      <c r="A237" s="145"/>
      <c r="B237" s="35"/>
      <c r="C237" s="35"/>
      <c r="D237" s="94"/>
      <c r="E237" s="65"/>
      <c r="F237" s="212"/>
      <c r="G237" s="97"/>
      <c r="H237" s="42"/>
      <c r="I237"/>
      <c r="J237"/>
      <c r="K237"/>
      <c r="L237"/>
      <c r="Q237"/>
    </row>
    <row r="238" spans="1:17" s="98" customFormat="1">
      <c r="A238" s="34">
        <f>MAX(A$1:A237)+1</f>
        <v>39</v>
      </c>
      <c r="B238" s="35"/>
      <c r="C238" s="36" t="s">
        <v>377</v>
      </c>
      <c r="D238" s="37"/>
      <c r="E238" s="38" t="s">
        <v>378</v>
      </c>
      <c r="F238" s="39"/>
      <c r="G238" s="40" t="s">
        <v>36</v>
      </c>
      <c r="H238" s="64">
        <v>32</v>
      </c>
      <c r="I238"/>
      <c r="J238"/>
      <c r="K238"/>
      <c r="L238"/>
      <c r="Q238"/>
    </row>
    <row r="239" spans="1:17" s="98" customFormat="1">
      <c r="A239" s="145"/>
      <c r="B239" s="35"/>
      <c r="C239" s="66"/>
      <c r="D239" s="67" t="s">
        <v>379</v>
      </c>
      <c r="E239" s="71" t="s">
        <v>380</v>
      </c>
      <c r="F239" s="61"/>
      <c r="G239" s="62" t="s">
        <v>36</v>
      </c>
      <c r="H239" s="83">
        <v>32</v>
      </c>
      <c r="I239"/>
      <c r="J239"/>
      <c r="K239"/>
      <c r="L239"/>
      <c r="Q239"/>
    </row>
    <row r="240" spans="1:17" s="98" customFormat="1" ht="25.5">
      <c r="A240" s="145"/>
      <c r="B240" s="35"/>
      <c r="C240" s="35"/>
      <c r="D240" s="94"/>
      <c r="E240" s="65" t="s">
        <v>1439</v>
      </c>
      <c r="F240" s="212">
        <v>32</v>
      </c>
      <c r="G240" s="97"/>
      <c r="H240" s="42"/>
      <c r="I240"/>
      <c r="J240"/>
      <c r="K240"/>
      <c r="L240"/>
      <c r="Q240"/>
    </row>
    <row r="241" spans="1:17" s="98" customFormat="1">
      <c r="A241" s="145"/>
      <c r="B241" s="35"/>
      <c r="C241" s="35"/>
      <c r="D241" s="94"/>
      <c r="E241" s="65"/>
      <c r="F241" s="212"/>
      <c r="G241" s="97"/>
      <c r="H241" s="42"/>
      <c r="I241"/>
      <c r="J241"/>
      <c r="K241"/>
      <c r="L241"/>
      <c r="Q241"/>
    </row>
    <row r="242" spans="1:17" s="98" customFormat="1" ht="25.5">
      <c r="A242" s="34">
        <f>MAX(A$1:A241)+1</f>
        <v>40</v>
      </c>
      <c r="B242" s="35"/>
      <c r="C242" s="36" t="s">
        <v>1440</v>
      </c>
      <c r="D242" s="37"/>
      <c r="E242" s="38" t="s">
        <v>1441</v>
      </c>
      <c r="F242" s="39"/>
      <c r="G242" s="40" t="s">
        <v>33</v>
      </c>
      <c r="H242" s="64">
        <v>1</v>
      </c>
      <c r="I242"/>
      <c r="J242"/>
      <c r="K242"/>
      <c r="L242"/>
      <c r="Q242"/>
    </row>
    <row r="243" spans="1:17" s="98" customFormat="1" ht="25.5">
      <c r="A243" s="145"/>
      <c r="B243" s="35"/>
      <c r="C243" s="66"/>
      <c r="D243" s="67" t="s">
        <v>1442</v>
      </c>
      <c r="E243" s="71" t="s">
        <v>1443</v>
      </c>
      <c r="F243" s="61"/>
      <c r="G243" s="62" t="s">
        <v>33</v>
      </c>
      <c r="H243" s="83">
        <v>1</v>
      </c>
      <c r="I243"/>
      <c r="J243"/>
      <c r="K243"/>
      <c r="L243"/>
      <c r="Q243"/>
    </row>
    <row r="244" spans="1:17" s="98" customFormat="1" ht="25.5">
      <c r="A244" s="145"/>
      <c r="B244" s="35"/>
      <c r="C244" s="35"/>
      <c r="D244" s="94"/>
      <c r="E244" s="65" t="s">
        <v>1444</v>
      </c>
      <c r="F244" s="212">
        <v>1</v>
      </c>
      <c r="G244" s="97"/>
      <c r="H244" s="42"/>
      <c r="I244"/>
      <c r="J244"/>
      <c r="K244"/>
      <c r="L244"/>
      <c r="Q244"/>
    </row>
    <row r="245" spans="1:17" s="98" customFormat="1">
      <c r="A245" s="145"/>
      <c r="B245" s="35"/>
      <c r="C245" s="35"/>
      <c r="D245" s="94"/>
      <c r="E245" s="65"/>
      <c r="F245" s="212"/>
      <c r="G245" s="97"/>
      <c r="H245" s="42"/>
      <c r="I245"/>
      <c r="J245"/>
      <c r="K245"/>
      <c r="L245"/>
      <c r="Q245"/>
    </row>
    <row r="246" spans="1:17" ht="25.5">
      <c r="A246" s="105"/>
      <c r="B246" s="35" t="s">
        <v>270</v>
      </c>
      <c r="C246" s="35"/>
      <c r="D246" s="94"/>
      <c r="E246" s="211" t="s">
        <v>271</v>
      </c>
      <c r="F246" s="46"/>
      <c r="G246" s="62"/>
      <c r="H246" s="74"/>
    </row>
    <row r="247" spans="1:17">
      <c r="A247" s="105"/>
      <c r="B247" s="35"/>
      <c r="C247" s="35"/>
      <c r="D247" s="94"/>
      <c r="E247" s="211"/>
      <c r="F247" s="46"/>
      <c r="G247" s="62"/>
      <c r="H247" s="74"/>
    </row>
    <row r="248" spans="1:17" ht="25.5">
      <c r="A248" s="34">
        <f>MAX(A$1:A247)+1</f>
        <v>41</v>
      </c>
      <c r="B248" s="35"/>
      <c r="C248" s="36" t="s">
        <v>385</v>
      </c>
      <c r="D248" s="37"/>
      <c r="E248" s="38" t="s">
        <v>386</v>
      </c>
      <c r="F248" s="39"/>
      <c r="G248" s="40" t="s">
        <v>18</v>
      </c>
      <c r="H248" s="52">
        <v>24.1</v>
      </c>
    </row>
    <row r="249" spans="1:17" ht="25.5">
      <c r="A249" s="105"/>
      <c r="B249" s="35"/>
      <c r="C249" s="35"/>
      <c r="D249" s="94"/>
      <c r="E249" s="65" t="s">
        <v>1445</v>
      </c>
      <c r="F249" s="46">
        <f>0.2*60</f>
        <v>12</v>
      </c>
      <c r="G249" s="62"/>
      <c r="H249" s="74"/>
    </row>
    <row r="250" spans="1:17" ht="25.5">
      <c r="A250" s="105"/>
      <c r="B250" s="35"/>
      <c r="C250" s="35"/>
      <c r="D250" s="94"/>
      <c r="E250" s="65" t="s">
        <v>1446</v>
      </c>
      <c r="F250" s="69">
        <f>0.2*60.5</f>
        <v>12.100000000000001</v>
      </c>
      <c r="G250" s="62"/>
      <c r="H250" s="74"/>
    </row>
    <row r="251" spans="1:17">
      <c r="A251" s="105"/>
      <c r="B251" s="35"/>
      <c r="C251" s="35"/>
      <c r="D251" s="94"/>
      <c r="E251" s="65"/>
      <c r="F251" s="46">
        <f>SUM(F249:F250)</f>
        <v>24.1</v>
      </c>
      <c r="G251" s="62"/>
      <c r="H251" s="74"/>
    </row>
    <row r="252" spans="1:17">
      <c r="A252" s="105"/>
      <c r="B252" s="35"/>
      <c r="C252" s="35"/>
      <c r="D252" s="94"/>
      <c r="E252" s="65"/>
      <c r="F252" s="46"/>
      <c r="G252" s="62"/>
      <c r="H252" s="74"/>
    </row>
    <row r="253" spans="1:17" ht="25.5">
      <c r="A253" s="34">
        <f>MAX(A$1:A252)+1</f>
        <v>42</v>
      </c>
      <c r="B253" s="35"/>
      <c r="C253" s="36" t="s">
        <v>430</v>
      </c>
      <c r="D253" s="37"/>
      <c r="E253" s="38" t="s">
        <v>431</v>
      </c>
      <c r="F253" s="39"/>
      <c r="G253" s="40" t="s">
        <v>18</v>
      </c>
      <c r="H253" s="64">
        <v>21.75</v>
      </c>
    </row>
    <row r="254" spans="1:17" ht="38.25">
      <c r="A254" s="105"/>
      <c r="B254" s="35"/>
      <c r="C254" s="35"/>
      <c r="D254" s="67" t="s">
        <v>1077</v>
      </c>
      <c r="E254" s="71" t="s">
        <v>1078</v>
      </c>
      <c r="F254" s="61"/>
      <c r="G254" s="62" t="s">
        <v>18</v>
      </c>
      <c r="H254" s="83">
        <v>11.55</v>
      </c>
    </row>
    <row r="255" spans="1:17" ht="25.5">
      <c r="A255" s="105"/>
      <c r="B255" s="35"/>
      <c r="C255" s="35"/>
      <c r="D255" s="94"/>
      <c r="E255" s="65" t="s">
        <v>1447</v>
      </c>
      <c r="F255" s="46">
        <f>0.2*57.75</f>
        <v>11.55</v>
      </c>
      <c r="G255" s="62"/>
      <c r="H255" s="74"/>
    </row>
    <row r="256" spans="1:17" ht="39">
      <c r="A256" s="105"/>
      <c r="B256" s="35"/>
      <c r="C256" s="35"/>
      <c r="D256" s="67" t="s">
        <v>1082</v>
      </c>
      <c r="E256" s="61" t="s">
        <v>1083</v>
      </c>
      <c r="F256" s="61"/>
      <c r="G256" s="62" t="s">
        <v>18</v>
      </c>
      <c r="H256" s="74">
        <v>10.200000000000001</v>
      </c>
    </row>
    <row r="257" spans="1:8" ht="25.5">
      <c r="A257" s="105"/>
      <c r="B257" s="35"/>
      <c r="C257" s="35"/>
      <c r="D257" s="94"/>
      <c r="E257" s="65" t="s">
        <v>1448</v>
      </c>
      <c r="F257" s="46">
        <f>0.17*60</f>
        <v>10.200000000000001</v>
      </c>
      <c r="G257" s="62"/>
      <c r="H257" s="74"/>
    </row>
    <row r="258" spans="1:8">
      <c r="A258" s="105"/>
      <c r="B258" s="35"/>
      <c r="C258" s="35"/>
      <c r="D258" s="94"/>
      <c r="E258" s="211"/>
      <c r="F258" s="46"/>
      <c r="G258" s="62"/>
      <c r="H258" s="74"/>
    </row>
    <row r="259" spans="1:8" ht="25.5">
      <c r="A259" s="34">
        <f>MAX(A$1:A258)+1</f>
        <v>43</v>
      </c>
      <c r="B259" s="35"/>
      <c r="C259" s="36" t="s">
        <v>312</v>
      </c>
      <c r="D259" s="37"/>
      <c r="E259" s="38" t="s">
        <v>313</v>
      </c>
      <c r="F259" s="39"/>
      <c r="G259" s="40" t="s">
        <v>21</v>
      </c>
      <c r="H259" s="64">
        <v>60</v>
      </c>
    </row>
    <row r="260" spans="1:8" ht="38.25">
      <c r="A260" s="105"/>
      <c r="B260" s="35"/>
      <c r="C260" s="66"/>
      <c r="D260" s="67" t="s">
        <v>1026</v>
      </c>
      <c r="E260" s="71" t="s">
        <v>1449</v>
      </c>
      <c r="F260" s="61"/>
      <c r="G260" s="62" t="s">
        <v>21</v>
      </c>
      <c r="H260" s="83">
        <v>60</v>
      </c>
    </row>
    <row r="261" spans="1:8">
      <c r="A261" s="105"/>
      <c r="B261" s="35"/>
      <c r="C261" s="35"/>
      <c r="D261" s="94"/>
      <c r="E261" s="65" t="s">
        <v>1450</v>
      </c>
      <c r="F261" s="46">
        <v>60</v>
      </c>
      <c r="G261" s="62"/>
      <c r="H261" s="74"/>
    </row>
    <row r="262" spans="1:8">
      <c r="A262" s="105"/>
      <c r="B262" s="35"/>
      <c r="C262" s="35"/>
      <c r="D262" s="94"/>
      <c r="E262" s="65"/>
      <c r="F262" s="46"/>
      <c r="G262" s="62"/>
      <c r="H262" s="74"/>
    </row>
    <row r="263" spans="1:8" ht="25.5">
      <c r="A263" s="34">
        <f>MAX(A$1:A262)+1</f>
        <v>44</v>
      </c>
      <c r="B263" s="35"/>
      <c r="C263" s="36" t="s">
        <v>314</v>
      </c>
      <c r="D263" s="37"/>
      <c r="E263" s="38" t="s">
        <v>315</v>
      </c>
      <c r="F263" s="39"/>
      <c r="G263" s="40" t="s">
        <v>18</v>
      </c>
      <c r="H263" s="64">
        <v>4.2</v>
      </c>
    </row>
    <row r="264" spans="1:8" ht="38.25">
      <c r="A264" s="105"/>
      <c r="B264" s="35"/>
      <c r="C264" s="66"/>
      <c r="D264" s="67" t="s">
        <v>316</v>
      </c>
      <c r="E264" s="71" t="s">
        <v>317</v>
      </c>
      <c r="F264" s="61"/>
      <c r="G264" s="62" t="s">
        <v>18</v>
      </c>
      <c r="H264" s="83">
        <v>4.2</v>
      </c>
    </row>
    <row r="265" spans="1:8" ht="25.5">
      <c r="A265" s="105"/>
      <c r="B265" s="35"/>
      <c r="C265" s="35"/>
      <c r="D265" s="94"/>
      <c r="E265" s="65" t="s">
        <v>1451</v>
      </c>
      <c r="F265" s="46">
        <f>0.07*60</f>
        <v>4.2</v>
      </c>
      <c r="G265" s="62"/>
      <c r="H265" s="74"/>
    </row>
    <row r="266" spans="1:8">
      <c r="A266" s="105"/>
      <c r="B266" s="35"/>
      <c r="C266" s="35"/>
      <c r="D266" s="94"/>
      <c r="E266" s="65"/>
      <c r="F266" s="46"/>
      <c r="G266" s="62"/>
      <c r="H266" s="74"/>
    </row>
    <row r="267" spans="1:8">
      <c r="A267" s="105"/>
      <c r="B267" s="35" t="s">
        <v>131</v>
      </c>
      <c r="C267" s="35"/>
      <c r="D267" s="94"/>
      <c r="E267" s="50" t="s">
        <v>132</v>
      </c>
      <c r="F267" s="46"/>
      <c r="G267" s="62"/>
      <c r="H267" s="74"/>
    </row>
    <row r="268" spans="1:8">
      <c r="A268" s="105"/>
      <c r="B268" s="35"/>
      <c r="C268" s="35"/>
      <c r="D268" s="94"/>
      <c r="E268" s="65"/>
      <c r="F268" s="46"/>
      <c r="G268" s="62"/>
      <c r="H268" s="74"/>
    </row>
    <row r="269" spans="1:8" ht="25.5">
      <c r="A269" s="34">
        <f>MAX(A$1:A268)+1</f>
        <v>45</v>
      </c>
      <c r="B269" s="35"/>
      <c r="C269" s="36" t="s">
        <v>345</v>
      </c>
      <c r="D269" s="37"/>
      <c r="E269" s="38" t="s">
        <v>346</v>
      </c>
      <c r="F269" s="39"/>
      <c r="G269" s="40" t="s">
        <v>21</v>
      </c>
      <c r="H269" s="64">
        <v>80</v>
      </c>
    </row>
    <row r="270" spans="1:8" ht="25.5">
      <c r="A270" s="105"/>
      <c r="B270" s="35"/>
      <c r="C270" s="66"/>
      <c r="D270" s="67" t="s">
        <v>347</v>
      </c>
      <c r="E270" s="71" t="s">
        <v>348</v>
      </c>
      <c r="F270" s="61"/>
      <c r="G270" s="62" t="s">
        <v>21</v>
      </c>
      <c r="H270" s="83">
        <v>80</v>
      </c>
    </row>
    <row r="271" spans="1:8">
      <c r="A271" s="105"/>
      <c r="B271" s="35"/>
      <c r="C271" s="35"/>
      <c r="D271" s="94"/>
      <c r="E271" s="65" t="s">
        <v>1452</v>
      </c>
      <c r="F271" s="46">
        <v>80</v>
      </c>
      <c r="G271" s="62"/>
      <c r="H271" s="74"/>
    </row>
    <row r="272" spans="1:8">
      <c r="A272" s="72"/>
      <c r="B272" s="73"/>
      <c r="C272" s="66"/>
      <c r="D272" s="67"/>
      <c r="E272" s="84"/>
      <c r="F272" s="90"/>
      <c r="G272" s="62"/>
      <c r="H272" s="99"/>
    </row>
    <row r="273" spans="1:21" ht="15.75" thickBot="1">
      <c r="A273" s="106"/>
      <c r="B273" s="107"/>
      <c r="C273" s="107"/>
      <c r="D273" s="107"/>
      <c r="E273" s="108"/>
      <c r="F273" s="109"/>
      <c r="G273" s="107"/>
      <c r="H273" s="110"/>
    </row>
    <row r="274" spans="1:21">
      <c r="E274" s="6"/>
      <c r="F274" s="112"/>
      <c r="H274" s="8"/>
      <c r="Q274" s="223"/>
      <c r="U274" s="223"/>
    </row>
  </sheetData>
  <sheetProtection algorithmName="SHA-512" hashValue="7a/xY6NPv9O9iLZwz1Fizs5nU93COiDEhLJJ7qoV0sBx9f9VCsuv1sIF/MlHEGTlgo1ERoAN9DjYag5NSFKT8g==" saltValue="y7BYqyLDcr/DtvgtmBfuQ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AB39B-7710-4288-ADF0-207A72F785ED}">
  <sheetPr codeName="Hárok6"/>
  <dimension ref="A1:AE443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1" style="208" bestFit="1" customWidth="1"/>
    <col min="10" max="10" width="17.140625" customWidth="1"/>
    <col min="11" max="11" width="11.7109375" bestFit="1" customWidth="1"/>
    <col min="16" max="16" width="13.140625" customWidth="1"/>
    <col min="17" max="17" width="9.85546875" bestFit="1" customWidth="1"/>
    <col min="21" max="21" width="12" style="208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9" ht="27" customHeight="1">
      <c r="A1" s="2" t="s">
        <v>1</v>
      </c>
      <c r="B1" s="2"/>
      <c r="C1" s="3"/>
      <c r="D1" s="4"/>
      <c r="E1" s="1341" t="s">
        <v>1499</v>
      </c>
      <c r="F1" s="1341"/>
      <c r="G1" s="1341"/>
      <c r="H1" s="1341"/>
    </row>
    <row r="2" spans="1:29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9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29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29">
      <c r="A5" s="299"/>
      <c r="B5" s="119"/>
      <c r="C5" s="119"/>
      <c r="D5" s="119"/>
      <c r="E5" s="323"/>
      <c r="F5" s="692"/>
      <c r="G5" s="296"/>
      <c r="H5" s="604"/>
    </row>
    <row r="6" spans="1:29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9">
      <c r="A7" s="268"/>
      <c r="B7" s="24"/>
      <c r="C7" s="25"/>
      <c r="D7" s="26"/>
      <c r="E7" s="27"/>
      <c r="F7" s="28"/>
      <c r="G7" s="29"/>
      <c r="H7" s="30"/>
    </row>
    <row r="8" spans="1:29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9">
      <c r="A9" s="268"/>
      <c r="B9" s="24"/>
      <c r="C9" s="25"/>
      <c r="D9" s="26"/>
      <c r="E9" s="76" t="s">
        <v>891</v>
      </c>
      <c r="F9" s="136"/>
      <c r="G9" s="29"/>
      <c r="H9" s="30"/>
    </row>
    <row r="10" spans="1:29">
      <c r="A10" s="268"/>
      <c r="B10" s="24"/>
      <c r="C10" s="25"/>
      <c r="D10" s="26"/>
      <c r="E10" s="316" t="s">
        <v>1500</v>
      </c>
      <c r="F10" s="136"/>
      <c r="G10" s="29"/>
      <c r="H10" s="30"/>
      <c r="L10" s="120"/>
      <c r="P10" s="694"/>
      <c r="Y10" s="120"/>
      <c r="AC10" s="694"/>
    </row>
    <row r="11" spans="1:29" ht="26.25">
      <c r="A11" s="268"/>
      <c r="B11" s="24"/>
      <c r="C11" s="25"/>
      <c r="D11" s="26"/>
      <c r="E11" s="76" t="s">
        <v>1501</v>
      </c>
      <c r="F11" s="136"/>
      <c r="G11" s="29"/>
      <c r="H11" s="30"/>
      <c r="L11" s="120"/>
      <c r="Y11" s="120"/>
    </row>
    <row r="12" spans="1:29">
      <c r="A12" s="268"/>
      <c r="B12" s="24"/>
      <c r="C12" s="25"/>
      <c r="D12" s="26"/>
      <c r="E12" s="76" t="s">
        <v>1113</v>
      </c>
      <c r="F12" s="136"/>
      <c r="G12" s="29"/>
      <c r="H12" s="30"/>
      <c r="L12" s="120"/>
      <c r="Y12" s="120"/>
    </row>
    <row r="13" spans="1:29">
      <c r="A13" s="268"/>
      <c r="B13" s="24"/>
      <c r="C13" s="25"/>
      <c r="D13" s="26"/>
      <c r="E13" s="76" t="s">
        <v>1502</v>
      </c>
      <c r="F13" s="136"/>
      <c r="G13" s="29"/>
      <c r="H13" s="30"/>
    </row>
    <row r="14" spans="1:29">
      <c r="A14" s="268"/>
      <c r="B14" s="24"/>
      <c r="C14" s="25"/>
      <c r="D14" s="26"/>
      <c r="E14" s="76"/>
      <c r="F14" s="136"/>
      <c r="G14" s="29"/>
      <c r="H14" s="30"/>
    </row>
    <row r="15" spans="1:29">
      <c r="A15" s="268"/>
      <c r="B15" s="24"/>
      <c r="C15" s="25"/>
      <c r="D15" s="26"/>
      <c r="E15" s="316" t="s">
        <v>1098</v>
      </c>
      <c r="F15" s="136"/>
      <c r="G15" s="29"/>
      <c r="H15" s="30"/>
    </row>
    <row r="16" spans="1:29" ht="26.25">
      <c r="A16" s="268"/>
      <c r="B16" s="24"/>
      <c r="C16" s="25"/>
      <c r="D16" s="26"/>
      <c r="E16" s="76" t="s">
        <v>1503</v>
      </c>
      <c r="F16" s="136"/>
      <c r="G16" s="29"/>
      <c r="H16" s="30"/>
      <c r="L16" s="120"/>
      <c r="Y16" s="120"/>
    </row>
    <row r="17" spans="1:25">
      <c r="A17" s="268"/>
      <c r="B17" s="24"/>
      <c r="C17" s="25"/>
      <c r="D17" s="26"/>
      <c r="E17" s="76" t="s">
        <v>1103</v>
      </c>
      <c r="F17" s="136"/>
      <c r="G17" s="29"/>
      <c r="H17" s="30"/>
      <c r="L17" s="120"/>
      <c r="Y17" s="120"/>
    </row>
    <row r="18" spans="1:25">
      <c r="A18" s="268"/>
      <c r="B18" s="24"/>
      <c r="C18" s="25"/>
      <c r="D18" s="26"/>
      <c r="E18" s="76" t="s">
        <v>1504</v>
      </c>
      <c r="F18" s="136"/>
      <c r="G18" s="29"/>
      <c r="H18" s="30"/>
      <c r="L18" s="120"/>
      <c r="Y18" s="120"/>
    </row>
    <row r="19" spans="1:25">
      <c r="A19" s="268"/>
      <c r="B19" s="24"/>
      <c r="C19" s="25"/>
      <c r="D19" s="26"/>
      <c r="E19" s="76"/>
      <c r="F19" s="136"/>
      <c r="G19" s="29"/>
      <c r="H19" s="30"/>
    </row>
    <row r="20" spans="1:25">
      <c r="A20" s="268"/>
      <c r="B20" s="24"/>
      <c r="C20" s="25"/>
      <c r="D20" s="26"/>
      <c r="E20" s="316" t="s">
        <v>1102</v>
      </c>
      <c r="F20" s="136"/>
      <c r="G20" s="29"/>
      <c r="H20" s="30"/>
    </row>
    <row r="21" spans="1:25" ht="26.25">
      <c r="A21" s="268"/>
      <c r="B21" s="24"/>
      <c r="C21" s="25"/>
      <c r="D21" s="26"/>
      <c r="E21" s="76" t="s">
        <v>1505</v>
      </c>
      <c r="F21" s="136"/>
      <c r="G21" s="29"/>
      <c r="H21" s="30"/>
      <c r="L21" s="120"/>
      <c r="Y21" s="120"/>
    </row>
    <row r="22" spans="1:25">
      <c r="A22" s="268"/>
      <c r="B22" s="24"/>
      <c r="C22" s="25"/>
      <c r="D22" s="26"/>
      <c r="E22" s="76" t="s">
        <v>1100</v>
      </c>
      <c r="F22" s="136"/>
      <c r="G22" s="29"/>
      <c r="H22" s="30"/>
      <c r="L22" s="120"/>
      <c r="Y22" s="120"/>
    </row>
    <row r="23" spans="1:25">
      <c r="A23" s="268"/>
      <c r="B23" s="24"/>
      <c r="C23" s="25"/>
      <c r="D23" s="26"/>
      <c r="E23" s="76" t="s">
        <v>1506</v>
      </c>
      <c r="F23" s="136"/>
      <c r="G23" s="29"/>
      <c r="H23" s="30"/>
      <c r="L23" s="120"/>
      <c r="Y23" s="120"/>
    </row>
    <row r="24" spans="1:25">
      <c r="A24" s="268"/>
      <c r="B24" s="24"/>
      <c r="C24" s="25"/>
      <c r="D24" s="26"/>
      <c r="E24" s="76"/>
      <c r="F24" s="136"/>
      <c r="G24" s="29"/>
      <c r="H24" s="30"/>
      <c r="L24" s="120"/>
      <c r="Y24" s="120"/>
    </row>
    <row r="25" spans="1:25">
      <c r="A25" s="268"/>
      <c r="B25" s="24"/>
      <c r="C25" s="25"/>
      <c r="D25" s="26"/>
      <c r="E25" s="316" t="s">
        <v>1105</v>
      </c>
      <c r="F25" s="136"/>
      <c r="G25" s="29"/>
      <c r="H25" s="30"/>
    </row>
    <row r="26" spans="1:25" ht="26.25">
      <c r="A26" s="268"/>
      <c r="B26" s="24"/>
      <c r="C26" s="25"/>
      <c r="D26" s="26"/>
      <c r="E26" s="76" t="s">
        <v>1505</v>
      </c>
      <c r="F26" s="136"/>
      <c r="G26" s="29"/>
      <c r="H26" s="30"/>
      <c r="L26" s="120"/>
      <c r="Y26" s="120"/>
    </row>
    <row r="27" spans="1:25">
      <c r="A27" s="268"/>
      <c r="B27" s="24"/>
      <c r="C27" s="25"/>
      <c r="D27" s="26"/>
      <c r="E27" s="76" t="s">
        <v>1100</v>
      </c>
      <c r="F27" s="136"/>
      <c r="G27" s="29"/>
      <c r="H27" s="30"/>
      <c r="L27" s="120"/>
      <c r="Y27" s="120"/>
    </row>
    <row r="28" spans="1:25">
      <c r="A28" s="268"/>
      <c r="B28" s="24"/>
      <c r="C28" s="25"/>
      <c r="D28" s="26"/>
      <c r="E28" s="76" t="s">
        <v>1506</v>
      </c>
      <c r="F28" s="136"/>
      <c r="G28" s="29"/>
      <c r="H28" s="30"/>
      <c r="L28" s="120"/>
      <c r="Y28" s="120"/>
    </row>
    <row r="29" spans="1:25">
      <c r="A29" s="268"/>
      <c r="B29" s="24"/>
      <c r="C29" s="25"/>
      <c r="D29" s="26"/>
      <c r="E29" s="76"/>
      <c r="F29" s="136"/>
      <c r="G29" s="29"/>
      <c r="H29" s="30"/>
      <c r="L29" s="120"/>
      <c r="Y29" s="120"/>
    </row>
    <row r="30" spans="1:25">
      <c r="A30" s="268"/>
      <c r="B30" s="24"/>
      <c r="C30" s="25"/>
      <c r="D30" s="26"/>
      <c r="E30" s="316" t="s">
        <v>1108</v>
      </c>
      <c r="F30" s="136"/>
      <c r="G30" s="29"/>
      <c r="H30" s="30"/>
    </row>
    <row r="31" spans="1:25" ht="26.25">
      <c r="A31" s="268"/>
      <c r="B31" s="24"/>
      <c r="C31" s="25"/>
      <c r="D31" s="26"/>
      <c r="E31" s="76" t="s">
        <v>1505</v>
      </c>
      <c r="F31" s="136"/>
      <c r="G31" s="29"/>
      <c r="H31" s="30"/>
      <c r="L31" s="120"/>
      <c r="Y31" s="120"/>
    </row>
    <row r="32" spans="1:25">
      <c r="A32" s="268"/>
      <c r="B32" s="24"/>
      <c r="C32" s="25"/>
      <c r="D32" s="26"/>
      <c r="E32" s="76" t="s">
        <v>1100</v>
      </c>
      <c r="F32" s="136"/>
      <c r="G32" s="29"/>
      <c r="H32" s="30"/>
      <c r="L32" s="120"/>
      <c r="Y32" s="120"/>
    </row>
    <row r="33" spans="1:31">
      <c r="A33" s="268"/>
      <c r="B33" s="24"/>
      <c r="C33" s="25"/>
      <c r="D33" s="26"/>
      <c r="E33" s="76" t="s">
        <v>1506</v>
      </c>
      <c r="F33" s="136"/>
      <c r="G33" s="29"/>
      <c r="H33" s="30"/>
      <c r="L33" s="120"/>
      <c r="Y33" s="120"/>
    </row>
    <row r="34" spans="1:31">
      <c r="A34" s="268"/>
      <c r="B34" s="24"/>
      <c r="C34" s="25"/>
      <c r="D34" s="26"/>
      <c r="E34" s="76"/>
      <c r="F34" s="136"/>
      <c r="G34" s="29"/>
      <c r="H34" s="30"/>
      <c r="L34" s="120"/>
      <c r="Y34" s="120"/>
    </row>
    <row r="35" spans="1:31">
      <c r="A35" s="268"/>
      <c r="B35" s="24"/>
      <c r="C35" s="25"/>
      <c r="D35" s="26"/>
      <c r="E35" s="316" t="s">
        <v>1507</v>
      </c>
      <c r="F35" s="136"/>
      <c r="G35" s="29"/>
      <c r="H35" s="30"/>
    </row>
    <row r="36" spans="1:31" ht="26.25">
      <c r="A36" s="268"/>
      <c r="B36" s="24"/>
      <c r="C36" s="25"/>
      <c r="D36" s="26"/>
      <c r="E36" s="76" t="s">
        <v>1508</v>
      </c>
      <c r="F36" s="136"/>
      <c r="G36" s="29"/>
      <c r="H36" s="30"/>
      <c r="L36" s="120"/>
      <c r="Y36" s="120"/>
    </row>
    <row r="37" spans="1:31">
      <c r="A37" s="268"/>
      <c r="B37" s="24"/>
      <c r="C37" s="25"/>
      <c r="D37" s="26"/>
      <c r="E37" s="76" t="s">
        <v>1113</v>
      </c>
      <c r="F37" s="136"/>
      <c r="G37" s="29"/>
      <c r="H37" s="30"/>
      <c r="L37" s="120"/>
      <c r="Y37" s="120"/>
    </row>
    <row r="38" spans="1:31">
      <c r="A38" s="268"/>
      <c r="B38" s="24"/>
      <c r="C38" s="25"/>
      <c r="D38" s="26"/>
      <c r="E38" s="76" t="s">
        <v>1502</v>
      </c>
      <c r="F38" s="136"/>
      <c r="G38" s="29"/>
      <c r="H38" s="30"/>
      <c r="L38" s="120"/>
      <c r="Y38" s="120"/>
    </row>
    <row r="39" spans="1:31">
      <c r="A39" s="268"/>
      <c r="B39" s="24"/>
      <c r="C39" s="25"/>
      <c r="D39" s="26"/>
      <c r="E39" s="76"/>
      <c r="F39" s="136"/>
      <c r="G39" s="29"/>
      <c r="H39" s="30"/>
      <c r="L39" s="120"/>
      <c r="Y39" s="120"/>
    </row>
    <row r="40" spans="1:31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1">
      <c r="A41" s="268"/>
      <c r="B41" s="24"/>
      <c r="C41" s="25"/>
      <c r="D41" s="26"/>
      <c r="E41" s="316" t="s">
        <v>1500</v>
      </c>
      <c r="F41" s="136"/>
      <c r="G41" s="29"/>
      <c r="H41" s="30"/>
    </row>
    <row r="42" spans="1:31">
      <c r="A42" s="268"/>
      <c r="B42" s="24"/>
      <c r="C42" s="25"/>
      <c r="D42" s="26"/>
      <c r="E42" s="76" t="s">
        <v>910</v>
      </c>
      <c r="F42" s="136"/>
      <c r="G42" s="29"/>
      <c r="H42" s="30"/>
    </row>
    <row r="43" spans="1:31">
      <c r="A43" s="268"/>
      <c r="B43" s="24"/>
      <c r="C43" s="25"/>
      <c r="D43" s="26"/>
      <c r="E43" s="76" t="s">
        <v>1509</v>
      </c>
      <c r="F43" s="136"/>
      <c r="G43" s="29"/>
      <c r="H43" s="30"/>
      <c r="L43" s="120"/>
      <c r="R43" s="120"/>
      <c r="Y43" s="120"/>
      <c r="AE43" s="120"/>
    </row>
    <row r="44" spans="1:31">
      <c r="A44" s="268"/>
      <c r="B44" s="24"/>
      <c r="C44" s="25"/>
      <c r="D44" s="26"/>
      <c r="E44" s="76"/>
      <c r="F44" s="136"/>
      <c r="G44" s="29"/>
      <c r="H44" s="30"/>
      <c r="L44" s="120"/>
      <c r="R44" s="120"/>
      <c r="Y44" s="120"/>
      <c r="AE44" s="120"/>
    </row>
    <row r="45" spans="1:31">
      <c r="A45" s="268"/>
      <c r="B45" s="24"/>
      <c r="C45" s="25"/>
      <c r="D45" s="26"/>
      <c r="E45" s="316" t="s">
        <v>1510</v>
      </c>
      <c r="F45" s="136"/>
      <c r="G45" s="29"/>
      <c r="H45" s="30"/>
      <c r="L45" s="120"/>
      <c r="R45" s="120"/>
      <c r="Y45" s="120"/>
      <c r="AE45" s="120"/>
    </row>
    <row r="46" spans="1:31">
      <c r="A46" s="268"/>
      <c r="B46" s="24"/>
      <c r="C46" s="25"/>
      <c r="D46" s="26"/>
      <c r="E46" s="76" t="s">
        <v>910</v>
      </c>
      <c r="F46" s="136"/>
      <c r="G46" s="29"/>
      <c r="H46" s="30"/>
    </row>
    <row r="47" spans="1:31">
      <c r="A47" s="268"/>
      <c r="B47" s="24"/>
      <c r="C47" s="25"/>
      <c r="D47" s="26"/>
      <c r="E47" s="76" t="s">
        <v>1511</v>
      </c>
      <c r="F47" s="136"/>
      <c r="G47" s="29"/>
      <c r="H47" s="30"/>
    </row>
    <row r="48" spans="1:31">
      <c r="A48" s="268"/>
      <c r="B48" s="24"/>
      <c r="C48" s="25"/>
      <c r="D48" s="26"/>
      <c r="E48" s="76"/>
      <c r="F48" s="136"/>
      <c r="G48" s="29"/>
      <c r="H48" s="30"/>
    </row>
    <row r="49" spans="1:9" ht="26.25">
      <c r="A49" s="268"/>
      <c r="B49" s="24"/>
      <c r="C49" s="25"/>
      <c r="D49" s="26"/>
      <c r="E49" s="76" t="s">
        <v>1119</v>
      </c>
      <c r="F49" s="136"/>
      <c r="G49" s="29"/>
      <c r="H49" s="30"/>
    </row>
    <row r="50" spans="1:9" ht="26.25">
      <c r="A50" s="268"/>
      <c r="B50" s="24"/>
      <c r="C50" s="25"/>
      <c r="D50" s="26"/>
      <c r="E50" s="76" t="s">
        <v>1119</v>
      </c>
      <c r="F50" s="136"/>
      <c r="G50" s="29"/>
      <c r="H50" s="30"/>
    </row>
    <row r="51" spans="1:9">
      <c r="A51" s="268"/>
      <c r="B51" s="24"/>
      <c r="C51" s="25"/>
      <c r="D51" s="26"/>
      <c r="E51" s="76"/>
      <c r="F51" s="136"/>
      <c r="G51" s="29"/>
      <c r="H51" s="30"/>
    </row>
    <row r="52" spans="1:9" ht="25.5">
      <c r="A52" s="34">
        <f>MAX(A$1:A51)+1</f>
        <v>2</v>
      </c>
      <c r="B52" s="24"/>
      <c r="C52" s="36" t="s">
        <v>13</v>
      </c>
      <c r="D52" s="37"/>
      <c r="E52" s="38" t="s">
        <v>14</v>
      </c>
      <c r="F52" s="39"/>
      <c r="G52" s="40" t="s">
        <v>15</v>
      </c>
      <c r="H52" s="128">
        <v>1667.38</v>
      </c>
    </row>
    <row r="53" spans="1:9">
      <c r="A53" s="268"/>
      <c r="B53" s="24"/>
      <c r="C53" s="25"/>
      <c r="D53" s="26"/>
      <c r="E53" s="76"/>
      <c r="F53" s="136">
        <f>F151</f>
        <v>1667.3839999999998</v>
      </c>
      <c r="G53" s="29"/>
      <c r="H53" s="30"/>
    </row>
    <row r="54" spans="1:9">
      <c r="A54" s="268"/>
      <c r="B54" s="24"/>
      <c r="C54" s="25"/>
      <c r="D54" s="26"/>
      <c r="E54" s="76"/>
      <c r="F54" s="136"/>
      <c r="G54" s="29"/>
      <c r="H54" s="30"/>
    </row>
    <row r="55" spans="1:9">
      <c r="A55" s="34">
        <f>MAX(A$1:A54)+1</f>
        <v>3</v>
      </c>
      <c r="B55" s="24"/>
      <c r="C55" s="36" t="s">
        <v>228</v>
      </c>
      <c r="D55" s="37"/>
      <c r="E55" s="38" t="s">
        <v>229</v>
      </c>
      <c r="F55" s="39"/>
      <c r="G55" s="40" t="s">
        <v>18</v>
      </c>
      <c r="H55" s="128">
        <v>127.22</v>
      </c>
    </row>
    <row r="56" spans="1:9">
      <c r="A56" s="268"/>
      <c r="B56" s="24"/>
      <c r="C56" s="25"/>
      <c r="D56" s="26"/>
      <c r="E56" s="76"/>
      <c r="F56" s="136">
        <f>F241</f>
        <v>127.22380000000001</v>
      </c>
      <c r="G56" s="29"/>
      <c r="H56" s="30"/>
    </row>
    <row r="57" spans="1:9">
      <c r="A57" s="145"/>
      <c r="B57" s="31"/>
      <c r="C57" s="36"/>
      <c r="D57" s="37"/>
      <c r="E57" s="38"/>
      <c r="F57" s="46"/>
      <c r="G57" s="40"/>
      <c r="H57" s="30"/>
    </row>
    <row r="58" spans="1:9" ht="25.5">
      <c r="A58" s="34">
        <f>MAX(A$1:A57)+1</f>
        <v>4</v>
      </c>
      <c r="B58" s="35"/>
      <c r="C58" s="36" t="s">
        <v>16</v>
      </c>
      <c r="D58" s="37"/>
      <c r="E58" s="38" t="s">
        <v>17</v>
      </c>
      <c r="F58" s="39"/>
      <c r="G58" s="40" t="s">
        <v>18</v>
      </c>
      <c r="H58" s="128">
        <v>45.900000000000006</v>
      </c>
    </row>
    <row r="59" spans="1:9">
      <c r="A59" s="34"/>
      <c r="B59" s="35"/>
      <c r="C59" s="36"/>
      <c r="D59" s="37"/>
      <c r="E59" s="65" t="s">
        <v>852</v>
      </c>
      <c r="F59" s="90">
        <f>F184</f>
        <v>45.900000000000006</v>
      </c>
      <c r="G59" s="40"/>
      <c r="H59" s="30"/>
    </row>
    <row r="60" spans="1:9">
      <c r="A60" s="145"/>
      <c r="B60" s="35"/>
      <c r="C60" s="36"/>
      <c r="D60" s="37"/>
      <c r="E60" s="65"/>
      <c r="F60" s="90"/>
      <c r="G60" s="40"/>
      <c r="H60" s="30"/>
    </row>
    <row r="61" spans="1:9" ht="15.75">
      <c r="A61" s="145"/>
      <c r="B61" s="24" t="s">
        <v>19</v>
      </c>
      <c r="C61" s="48"/>
      <c r="D61" s="49"/>
      <c r="E61" s="50" t="s">
        <v>20</v>
      </c>
      <c r="F61" s="90"/>
      <c r="G61" s="40"/>
      <c r="H61" s="30"/>
    </row>
    <row r="62" spans="1:9" ht="15.75">
      <c r="A62" s="145"/>
      <c r="B62" s="24"/>
      <c r="C62" s="48"/>
      <c r="D62" s="49"/>
      <c r="E62" s="50"/>
      <c r="F62" s="90"/>
      <c r="G62" s="40"/>
      <c r="H62" s="30"/>
    </row>
    <row r="63" spans="1:9">
      <c r="A63" s="34">
        <f>MAX(A$1:A62)+1</f>
        <v>5</v>
      </c>
      <c r="B63" s="24"/>
      <c r="C63" s="36" t="s">
        <v>67</v>
      </c>
      <c r="D63" s="37"/>
      <c r="E63" s="38" t="s">
        <v>68</v>
      </c>
      <c r="F63" s="39"/>
      <c r="G63" s="40" t="s">
        <v>18</v>
      </c>
      <c r="H63" s="128">
        <v>7.5</v>
      </c>
      <c r="I63" s="704"/>
    </row>
    <row r="64" spans="1:9" ht="25.5">
      <c r="A64" s="145"/>
      <c r="B64" s="24"/>
      <c r="C64" s="36"/>
      <c r="D64" s="37"/>
      <c r="E64" s="65" t="s">
        <v>1512</v>
      </c>
      <c r="F64" s="46">
        <f>2.5*1.5*1*2</f>
        <v>7.5</v>
      </c>
      <c r="G64" s="40"/>
      <c r="H64" s="30"/>
    </row>
    <row r="65" spans="1:9" ht="15.75">
      <c r="A65" s="145"/>
      <c r="B65" s="24"/>
      <c r="C65" s="48"/>
      <c r="D65" s="49"/>
      <c r="E65" s="50"/>
      <c r="F65" s="90"/>
      <c r="G65" s="40"/>
      <c r="H65" s="30"/>
    </row>
    <row r="66" spans="1:9" ht="25.5">
      <c r="A66" s="34">
        <f>MAX(A$1:A65)+1</f>
        <v>6</v>
      </c>
      <c r="B66" s="24"/>
      <c r="C66" s="36" t="s">
        <v>117</v>
      </c>
      <c r="D66" s="37"/>
      <c r="E66" s="38" t="s">
        <v>118</v>
      </c>
      <c r="F66" s="39"/>
      <c r="G66" s="40" t="s">
        <v>33</v>
      </c>
      <c r="H66" s="128">
        <v>1</v>
      </c>
      <c r="I66" s="704"/>
    </row>
    <row r="67" spans="1:9" ht="15.75">
      <c r="A67" s="145"/>
      <c r="B67" s="24"/>
      <c r="C67" s="48"/>
      <c r="D67" s="49"/>
      <c r="E67" s="65" t="s">
        <v>1513</v>
      </c>
      <c r="F67" s="90">
        <v>1</v>
      </c>
      <c r="G67" s="40"/>
      <c r="H67" s="30"/>
    </row>
    <row r="68" spans="1:9" ht="15.75">
      <c r="A68" s="145"/>
      <c r="B68" s="24"/>
      <c r="C68" s="48"/>
      <c r="D68" s="49"/>
      <c r="E68" s="50"/>
      <c r="F68" s="90"/>
      <c r="G68" s="40"/>
      <c r="H68" s="30"/>
    </row>
    <row r="69" spans="1:9" ht="25.5">
      <c r="A69" s="34">
        <f>MAX(A$1:A68)+1</f>
        <v>7</v>
      </c>
      <c r="B69" s="24"/>
      <c r="C69" s="36" t="s">
        <v>22</v>
      </c>
      <c r="D69" s="37"/>
      <c r="E69" s="38" t="s">
        <v>23</v>
      </c>
      <c r="F69" s="39"/>
      <c r="G69" s="40" t="s">
        <v>21</v>
      </c>
      <c r="H69" s="128">
        <v>28</v>
      </c>
    </row>
    <row r="70" spans="1:9" ht="28.5" customHeight="1">
      <c r="A70" s="145"/>
      <c r="B70" s="24"/>
      <c r="C70" s="66"/>
      <c r="D70" s="67" t="s">
        <v>24</v>
      </c>
      <c r="E70" s="71" t="s">
        <v>25</v>
      </c>
      <c r="F70" s="61"/>
      <c r="G70" s="62" t="s">
        <v>21</v>
      </c>
      <c r="H70" s="124">
        <v>28</v>
      </c>
    </row>
    <row r="71" spans="1:9">
      <c r="A71" s="145"/>
      <c r="B71" s="24"/>
      <c r="C71" s="66"/>
      <c r="D71" s="67"/>
      <c r="E71" s="65" t="s">
        <v>1514</v>
      </c>
      <c r="F71" s="46">
        <v>28</v>
      </c>
      <c r="G71" s="62"/>
      <c r="H71" s="30"/>
    </row>
    <row r="72" spans="1:9" ht="15.75">
      <c r="A72" s="145"/>
      <c r="B72" s="24"/>
      <c r="C72" s="48"/>
      <c r="D72" s="49"/>
      <c r="E72" s="50"/>
      <c r="F72" s="90"/>
      <c r="G72" s="40"/>
      <c r="H72" s="30"/>
    </row>
    <row r="73" spans="1:9" ht="25.5">
      <c r="A73" s="34">
        <f>MAX(A$1:A72)+1</f>
        <v>8</v>
      </c>
      <c r="B73" s="24"/>
      <c r="C73" s="36" t="s">
        <v>119</v>
      </c>
      <c r="D73" s="37"/>
      <c r="E73" s="38" t="s">
        <v>120</v>
      </c>
      <c r="F73" s="39"/>
      <c r="G73" s="40" t="s">
        <v>21</v>
      </c>
      <c r="H73" s="128">
        <v>1380</v>
      </c>
    </row>
    <row r="74" spans="1:9" ht="25.5">
      <c r="A74" s="145"/>
      <c r="B74" s="24"/>
      <c r="C74" s="66"/>
      <c r="D74" s="67" t="s">
        <v>121</v>
      </c>
      <c r="E74" s="71" t="s">
        <v>122</v>
      </c>
      <c r="F74" s="61"/>
      <c r="G74" s="62" t="s">
        <v>21</v>
      </c>
      <c r="H74" s="124">
        <v>1380</v>
      </c>
    </row>
    <row r="75" spans="1:9" ht="25.5">
      <c r="A75" s="145"/>
      <c r="B75" s="24"/>
      <c r="C75" s="48"/>
      <c r="D75" s="49"/>
      <c r="E75" s="65" t="s">
        <v>1142</v>
      </c>
      <c r="F75" s="90">
        <v>1380</v>
      </c>
      <c r="G75" s="40"/>
      <c r="H75" s="30"/>
    </row>
    <row r="76" spans="1:9" ht="15.75">
      <c r="A76" s="145"/>
      <c r="B76" s="24"/>
      <c r="C76" s="48"/>
      <c r="D76" s="49"/>
      <c r="E76" s="50"/>
      <c r="F76" s="90"/>
      <c r="G76" s="40"/>
      <c r="H76" s="30"/>
    </row>
    <row r="77" spans="1:9" ht="25.5">
      <c r="A77" s="34">
        <f>MAX(A$1:A76)+1</f>
        <v>9</v>
      </c>
      <c r="B77" s="35"/>
      <c r="C77" s="36" t="s">
        <v>26</v>
      </c>
      <c r="D77" s="37"/>
      <c r="E77" s="38" t="s">
        <v>27</v>
      </c>
      <c r="F77" s="39"/>
      <c r="G77" s="40" t="s">
        <v>21</v>
      </c>
      <c r="H77" s="128">
        <v>1778</v>
      </c>
    </row>
    <row r="78" spans="1:9" ht="25.5">
      <c r="A78" s="145"/>
      <c r="B78" s="35"/>
      <c r="C78" s="36"/>
      <c r="D78" s="67" t="s">
        <v>453</v>
      </c>
      <c r="E78" s="71" t="s">
        <v>454</v>
      </c>
      <c r="F78" s="61"/>
      <c r="G78" s="62" t="s">
        <v>21</v>
      </c>
      <c r="H78" s="124">
        <v>1778</v>
      </c>
    </row>
    <row r="79" spans="1:9" ht="25.5">
      <c r="A79" s="145"/>
      <c r="B79" s="35"/>
      <c r="C79" s="36"/>
      <c r="D79" s="37"/>
      <c r="E79" s="65" t="s">
        <v>923</v>
      </c>
      <c r="F79" s="46">
        <v>31</v>
      </c>
      <c r="G79" s="40"/>
      <c r="H79" s="128"/>
    </row>
    <row r="80" spans="1:9">
      <c r="A80" s="145"/>
      <c r="B80" s="35"/>
      <c r="C80" s="36"/>
      <c r="D80" s="37"/>
      <c r="E80" s="65" t="s">
        <v>924</v>
      </c>
      <c r="F80" s="90">
        <v>1710</v>
      </c>
      <c r="G80" s="40"/>
      <c r="H80" s="128"/>
    </row>
    <row r="81" spans="1:11" ht="32.25" customHeight="1">
      <c r="A81" s="145"/>
      <c r="B81" s="35"/>
      <c r="C81" s="36"/>
      <c r="D81" s="37"/>
      <c r="E81" s="68" t="s">
        <v>925</v>
      </c>
      <c r="F81" s="138">
        <v>37</v>
      </c>
      <c r="G81" s="40"/>
      <c r="H81" s="128"/>
    </row>
    <row r="82" spans="1:11">
      <c r="A82" s="145"/>
      <c r="B82" s="35"/>
      <c r="C82" s="36"/>
      <c r="D82" s="37"/>
      <c r="E82" s="65"/>
      <c r="F82" s="90">
        <f>SUM(F79:F81)</f>
        <v>1778</v>
      </c>
      <c r="G82" s="40"/>
      <c r="H82" s="128"/>
    </row>
    <row r="83" spans="1:11">
      <c r="A83" s="145"/>
      <c r="B83" s="35"/>
      <c r="C83" s="36"/>
      <c r="D83" s="37"/>
      <c r="E83" s="65"/>
      <c r="F83" s="90"/>
      <c r="G83" s="40"/>
      <c r="H83" s="30"/>
    </row>
    <row r="84" spans="1:11" ht="25.5">
      <c r="A84" s="34">
        <f>MAX(A$1:A83)+1</f>
        <v>10</v>
      </c>
      <c r="B84" s="35"/>
      <c r="C84" s="36" t="s">
        <v>28</v>
      </c>
      <c r="D84" s="37"/>
      <c r="E84" s="38" t="s">
        <v>29</v>
      </c>
      <c r="F84" s="39"/>
      <c r="G84" s="40" t="s">
        <v>21</v>
      </c>
      <c r="H84" s="128">
        <v>3196</v>
      </c>
      <c r="I84" s="695"/>
    </row>
    <row r="85" spans="1:11" ht="25.5">
      <c r="A85" s="145"/>
      <c r="B85" s="35"/>
      <c r="C85" s="36"/>
      <c r="D85" s="67" t="s">
        <v>30</v>
      </c>
      <c r="E85" s="71" t="s">
        <v>31</v>
      </c>
      <c r="F85" s="61"/>
      <c r="G85" s="62" t="s">
        <v>21</v>
      </c>
      <c r="H85" s="124">
        <v>3090</v>
      </c>
    </row>
    <row r="86" spans="1:11">
      <c r="A86" s="145"/>
      <c r="B86" s="35"/>
      <c r="C86" s="36"/>
      <c r="D86" s="37"/>
      <c r="E86" s="65" t="s">
        <v>926</v>
      </c>
      <c r="F86" s="90">
        <v>3090</v>
      </c>
      <c r="G86" s="40"/>
      <c r="H86" s="124"/>
    </row>
    <row r="87" spans="1:11" ht="38.25">
      <c r="A87" s="145"/>
      <c r="B87" s="35"/>
      <c r="C87" s="66"/>
      <c r="D87" s="67" t="s">
        <v>276</v>
      </c>
      <c r="E87" s="71" t="s">
        <v>277</v>
      </c>
      <c r="F87" s="61"/>
      <c r="G87" s="62" t="s">
        <v>21</v>
      </c>
      <c r="H87" s="124">
        <v>106</v>
      </c>
    </row>
    <row r="88" spans="1:11" ht="25.5">
      <c r="A88" s="145"/>
      <c r="B88" s="35"/>
      <c r="C88" s="66"/>
      <c r="D88" s="67"/>
      <c r="E88" s="65" t="s">
        <v>927</v>
      </c>
      <c r="F88" s="90">
        <v>106</v>
      </c>
      <c r="G88" s="62"/>
      <c r="H88" s="30"/>
      <c r="K88" s="120"/>
    </row>
    <row r="89" spans="1:11">
      <c r="A89" s="145"/>
      <c r="B89" s="35"/>
      <c r="C89" s="36"/>
      <c r="D89" s="37"/>
      <c r="E89" s="65"/>
      <c r="F89" s="90"/>
      <c r="G89" s="40"/>
      <c r="H89" s="30"/>
    </row>
    <row r="90" spans="1:11" ht="25.5">
      <c r="A90" s="34">
        <f>MAX(A$1:A89)+1</f>
        <v>11</v>
      </c>
      <c r="B90" s="35"/>
      <c r="C90" s="36" t="s">
        <v>125</v>
      </c>
      <c r="D90" s="37"/>
      <c r="E90" s="38" t="s">
        <v>126</v>
      </c>
      <c r="F90" s="39"/>
      <c r="G90" s="40" t="s">
        <v>21</v>
      </c>
      <c r="H90" s="128">
        <v>106</v>
      </c>
    </row>
    <row r="91" spans="1:11" ht="25.5">
      <c r="A91" s="145"/>
      <c r="B91" s="35"/>
      <c r="C91" s="66"/>
      <c r="D91" s="67" t="s">
        <v>127</v>
      </c>
      <c r="E91" s="71" t="s">
        <v>128</v>
      </c>
      <c r="F91" s="61"/>
      <c r="G91" s="62" t="s">
        <v>21</v>
      </c>
      <c r="H91" s="124">
        <v>106</v>
      </c>
    </row>
    <row r="92" spans="1:11" ht="25.5">
      <c r="A92" s="145"/>
      <c r="B92" s="35"/>
      <c r="C92" s="36"/>
      <c r="D92" s="37"/>
      <c r="E92" s="65" t="s">
        <v>1515</v>
      </c>
      <c r="F92" s="90">
        <v>106</v>
      </c>
      <c r="G92" s="40"/>
      <c r="H92" s="30"/>
    </row>
    <row r="93" spans="1:11">
      <c r="A93" s="145"/>
      <c r="B93" s="35"/>
      <c r="C93" s="36"/>
      <c r="D93" s="37"/>
      <c r="E93" s="65"/>
      <c r="F93" s="90"/>
      <c r="G93" s="40"/>
      <c r="H93" s="30"/>
    </row>
    <row r="94" spans="1:11" ht="38.25">
      <c r="A94" s="34">
        <f>MAX(A$1:A93)+1</f>
        <v>12</v>
      </c>
      <c r="B94" s="35"/>
      <c r="C94" s="36" t="s">
        <v>133</v>
      </c>
      <c r="D94" s="37"/>
      <c r="E94" s="38" t="s">
        <v>134</v>
      </c>
      <c r="F94" s="39"/>
      <c r="G94" s="40" t="s">
        <v>21</v>
      </c>
      <c r="H94" s="128">
        <v>5064.5</v>
      </c>
      <c r="I94" s="695"/>
    </row>
    <row r="95" spans="1:11" ht="38.25">
      <c r="A95" s="145"/>
      <c r="B95" s="35"/>
      <c r="C95" s="36"/>
      <c r="D95" s="67" t="s">
        <v>468</v>
      </c>
      <c r="E95" s="71" t="s">
        <v>469</v>
      </c>
      <c r="F95" s="61"/>
      <c r="G95" s="62" t="s">
        <v>21</v>
      </c>
      <c r="H95" s="124">
        <v>1710</v>
      </c>
    </row>
    <row r="96" spans="1:11" ht="25.5">
      <c r="A96" s="145"/>
      <c r="B96" s="35"/>
      <c r="C96" s="36"/>
      <c r="D96" s="37"/>
      <c r="E96" s="65" t="s">
        <v>929</v>
      </c>
      <c r="F96" s="90">
        <v>1710</v>
      </c>
      <c r="G96" s="40"/>
      <c r="H96" s="128"/>
    </row>
    <row r="97" spans="1:12" ht="38.25">
      <c r="A97" s="145"/>
      <c r="B97" s="35"/>
      <c r="C97" s="36"/>
      <c r="D97" s="67" t="s">
        <v>230</v>
      </c>
      <c r="E97" s="71" t="s">
        <v>231</v>
      </c>
      <c r="F97" s="61"/>
      <c r="G97" s="62" t="s">
        <v>21</v>
      </c>
      <c r="H97" s="124">
        <v>3354.5</v>
      </c>
    </row>
    <row r="98" spans="1:12" ht="25.5">
      <c r="A98" s="145"/>
      <c r="B98" s="35"/>
      <c r="C98" s="36"/>
      <c r="D98" s="37"/>
      <c r="E98" s="65" t="s">
        <v>1516</v>
      </c>
      <c r="F98" s="90">
        <v>80</v>
      </c>
      <c r="G98" s="40"/>
      <c r="H98" s="30"/>
    </row>
    <row r="99" spans="1:12" ht="25.5">
      <c r="A99" s="145"/>
      <c r="B99" s="35"/>
      <c r="C99" s="36"/>
      <c r="D99" s="37"/>
      <c r="E99" s="65" t="s">
        <v>931</v>
      </c>
      <c r="F99" s="90">
        <v>3244.5</v>
      </c>
      <c r="G99" s="40"/>
      <c r="H99" s="30"/>
    </row>
    <row r="100" spans="1:12">
      <c r="A100" s="145"/>
      <c r="B100" s="35"/>
      <c r="C100" s="36"/>
      <c r="D100" s="37"/>
      <c r="E100" s="65" t="s">
        <v>1517</v>
      </c>
      <c r="F100" s="138">
        <v>30</v>
      </c>
      <c r="G100" s="40"/>
      <c r="H100" s="30"/>
    </row>
    <row r="101" spans="1:12">
      <c r="A101" s="145"/>
      <c r="B101" s="35"/>
      <c r="C101" s="36"/>
      <c r="D101" s="37"/>
      <c r="E101" s="65"/>
      <c r="F101" s="90">
        <f>SUM(F98:F100)</f>
        <v>3354.5</v>
      </c>
      <c r="G101" s="40"/>
      <c r="H101" s="30"/>
      <c r="K101" s="120"/>
    </row>
    <row r="102" spans="1:12">
      <c r="A102" s="145"/>
      <c r="B102" s="35"/>
      <c r="C102" s="36"/>
      <c r="D102" s="37"/>
      <c r="E102" s="65"/>
      <c r="F102" s="90"/>
      <c r="G102" s="40"/>
      <c r="H102" s="30"/>
    </row>
    <row r="103" spans="1:12" ht="38.25">
      <c r="A103" s="34">
        <f>MAX(A$1:A102)+1</f>
        <v>13</v>
      </c>
      <c r="B103" s="35"/>
      <c r="C103" s="36" t="s">
        <v>799</v>
      </c>
      <c r="D103" s="37"/>
      <c r="E103" s="38" t="s">
        <v>800</v>
      </c>
      <c r="F103" s="39"/>
      <c r="G103" s="40" t="s">
        <v>36</v>
      </c>
      <c r="H103" s="128">
        <v>121</v>
      </c>
    </row>
    <row r="104" spans="1:12" ht="25.5">
      <c r="A104" s="145"/>
      <c r="B104" s="35"/>
      <c r="C104" s="36"/>
      <c r="D104" s="67" t="s">
        <v>801</v>
      </c>
      <c r="E104" s="71" t="s">
        <v>802</v>
      </c>
      <c r="F104" s="61"/>
      <c r="G104" s="62" t="s">
        <v>36</v>
      </c>
      <c r="H104" s="124">
        <v>121</v>
      </c>
    </row>
    <row r="105" spans="1:12" ht="25.5">
      <c r="A105" s="145"/>
      <c r="B105" s="35"/>
      <c r="C105" s="36"/>
      <c r="D105" s="37"/>
      <c r="E105" s="65" t="s">
        <v>1518</v>
      </c>
      <c r="F105" s="90">
        <v>78</v>
      </c>
      <c r="G105" s="40"/>
      <c r="H105" s="30"/>
    </row>
    <row r="106" spans="1:12" ht="25.5">
      <c r="A106" s="145"/>
      <c r="B106" s="35"/>
      <c r="C106" s="36"/>
      <c r="D106" s="37"/>
      <c r="E106" s="65" t="s">
        <v>932</v>
      </c>
      <c r="F106" s="138">
        <v>43</v>
      </c>
      <c r="G106" s="40"/>
      <c r="H106" s="30"/>
    </row>
    <row r="107" spans="1:12">
      <c r="A107" s="145"/>
      <c r="B107" s="35"/>
      <c r="C107" s="36"/>
      <c r="D107" s="37"/>
      <c r="E107" s="65"/>
      <c r="F107" s="90">
        <f>SUM(F105:F106)</f>
        <v>121</v>
      </c>
      <c r="G107" s="40"/>
      <c r="H107" s="30"/>
      <c r="L107" s="120"/>
    </row>
    <row r="108" spans="1:12">
      <c r="A108" s="145"/>
      <c r="B108" s="35"/>
      <c r="C108" s="36"/>
      <c r="D108" s="37"/>
      <c r="E108" s="65"/>
      <c r="F108" s="90"/>
      <c r="G108" s="40"/>
      <c r="H108" s="30"/>
    </row>
    <row r="109" spans="1:12" ht="38.25">
      <c r="A109" s="34">
        <f>MAX(A$1:A108)+1</f>
        <v>14</v>
      </c>
      <c r="B109" s="35"/>
      <c r="C109" s="36" t="s">
        <v>455</v>
      </c>
      <c r="D109" s="37"/>
      <c r="E109" s="38" t="s">
        <v>456</v>
      </c>
      <c r="F109" s="39"/>
      <c r="G109" s="40" t="s">
        <v>36</v>
      </c>
      <c r="H109" s="128">
        <v>127</v>
      </c>
    </row>
    <row r="110" spans="1:12" ht="25.5">
      <c r="A110" s="145"/>
      <c r="B110" s="35"/>
      <c r="C110" s="66"/>
      <c r="D110" s="67" t="s">
        <v>933</v>
      </c>
      <c r="E110" s="71" t="s">
        <v>934</v>
      </c>
      <c r="F110" s="61"/>
      <c r="G110" s="62" t="s">
        <v>36</v>
      </c>
      <c r="H110" s="124">
        <v>70</v>
      </c>
    </row>
    <row r="111" spans="1:12" ht="25.5">
      <c r="A111" s="145"/>
      <c r="B111" s="35"/>
      <c r="C111" s="66"/>
      <c r="D111" s="67"/>
      <c r="E111" s="65" t="s">
        <v>935</v>
      </c>
      <c r="F111" s="46">
        <v>70</v>
      </c>
      <c r="G111" s="62"/>
      <c r="H111" s="30"/>
    </row>
    <row r="112" spans="1:12" ht="25.5">
      <c r="A112" s="145"/>
      <c r="B112" s="35"/>
      <c r="C112" s="66"/>
      <c r="D112" s="67" t="s">
        <v>560</v>
      </c>
      <c r="E112" s="71" t="s">
        <v>803</v>
      </c>
      <c r="F112" s="61"/>
      <c r="G112" s="62" t="s">
        <v>36</v>
      </c>
      <c r="H112" s="124">
        <v>57</v>
      </c>
    </row>
    <row r="113" spans="1:9" ht="25.5">
      <c r="A113" s="145"/>
      <c r="B113" s="35"/>
      <c r="C113" s="36"/>
      <c r="D113" s="37"/>
      <c r="E113" s="65" t="s">
        <v>936</v>
      </c>
      <c r="F113" s="90">
        <v>50</v>
      </c>
      <c r="G113" s="40"/>
      <c r="H113" s="30"/>
    </row>
    <row r="114" spans="1:9" ht="25.5">
      <c r="A114" s="145"/>
      <c r="B114" s="35"/>
      <c r="C114" s="36"/>
      <c r="D114" s="37"/>
      <c r="E114" s="65" t="s">
        <v>1519</v>
      </c>
      <c r="F114" s="138">
        <v>7</v>
      </c>
      <c r="G114" s="40"/>
      <c r="H114" s="30"/>
    </row>
    <row r="115" spans="1:9">
      <c r="A115" s="145"/>
      <c r="B115" s="35"/>
      <c r="C115" s="36"/>
      <c r="D115" s="37"/>
      <c r="E115" s="65"/>
      <c r="F115" s="90">
        <f>SUM(F113:F114)</f>
        <v>57</v>
      </c>
      <c r="G115" s="40"/>
      <c r="H115" s="30"/>
    </row>
    <row r="116" spans="1:9">
      <c r="A116" s="145"/>
      <c r="B116" s="35"/>
      <c r="C116" s="36"/>
      <c r="D116" s="37"/>
      <c r="E116" s="65"/>
      <c r="F116" s="90"/>
      <c r="G116" s="40"/>
      <c r="H116" s="30"/>
    </row>
    <row r="117" spans="1:9" ht="38.25">
      <c r="A117" s="34">
        <f>MAX(A$1:A116)+1</f>
        <v>15</v>
      </c>
      <c r="B117" s="35"/>
      <c r="C117" s="36" t="s">
        <v>34</v>
      </c>
      <c r="D117" s="37"/>
      <c r="E117" s="38" t="s">
        <v>35</v>
      </c>
      <c r="F117" s="39"/>
      <c r="G117" s="40" t="s">
        <v>36</v>
      </c>
      <c r="H117" s="128">
        <v>235</v>
      </c>
    </row>
    <row r="118" spans="1:9">
      <c r="A118" s="145"/>
      <c r="B118" s="35"/>
      <c r="C118" s="36"/>
      <c r="D118" s="37"/>
      <c r="E118" s="65" t="s">
        <v>1161</v>
      </c>
      <c r="F118" s="90">
        <v>235</v>
      </c>
      <c r="G118" s="40"/>
      <c r="H118" s="30"/>
    </row>
    <row r="119" spans="1:9">
      <c r="A119" s="145"/>
      <c r="B119" s="35"/>
      <c r="C119" s="36"/>
      <c r="D119" s="37"/>
      <c r="E119" s="65"/>
      <c r="F119" s="90"/>
      <c r="G119" s="40"/>
      <c r="H119" s="30"/>
    </row>
    <row r="120" spans="1:9" ht="38.25">
      <c r="A120" s="34">
        <f>MAX(A$1:A119)+1</f>
        <v>16</v>
      </c>
      <c r="B120" s="35"/>
      <c r="C120" s="36" t="s">
        <v>32</v>
      </c>
      <c r="D120" s="37"/>
      <c r="E120" s="38" t="s">
        <v>232</v>
      </c>
      <c r="F120" s="39"/>
      <c r="G120" s="40" t="s">
        <v>33</v>
      </c>
      <c r="H120" s="128">
        <v>7</v>
      </c>
    </row>
    <row r="121" spans="1:9" ht="25.5">
      <c r="A121" s="145"/>
      <c r="B121" s="35"/>
      <c r="C121" s="36"/>
      <c r="D121" s="37"/>
      <c r="E121" s="65" t="s">
        <v>937</v>
      </c>
      <c r="F121" s="90">
        <v>5</v>
      </c>
      <c r="G121" s="40"/>
      <c r="H121" s="30"/>
    </row>
    <row r="122" spans="1:9" ht="25.5">
      <c r="A122" s="145"/>
      <c r="B122" s="35"/>
      <c r="C122" s="36"/>
      <c r="D122" s="37"/>
      <c r="E122" s="65" t="s">
        <v>1520</v>
      </c>
      <c r="F122" s="138">
        <v>2</v>
      </c>
      <c r="G122" s="40"/>
      <c r="H122" s="30"/>
    </row>
    <row r="123" spans="1:9">
      <c r="A123" s="145"/>
      <c r="B123" s="35"/>
      <c r="C123" s="36"/>
      <c r="D123" s="37"/>
      <c r="E123" s="65"/>
      <c r="F123" s="90">
        <f>SUM(F121:F122)</f>
        <v>7</v>
      </c>
      <c r="G123" s="40"/>
      <c r="H123" s="30"/>
    </row>
    <row r="124" spans="1:9" ht="18.75">
      <c r="A124" s="145"/>
      <c r="B124" s="35"/>
      <c r="C124" s="36"/>
      <c r="D124" s="37"/>
      <c r="E124" s="65"/>
      <c r="F124" s="90"/>
      <c r="G124" s="40"/>
      <c r="H124" s="30"/>
      <c r="I124" s="696"/>
    </row>
    <row r="125" spans="1:9">
      <c r="A125" s="34">
        <f>MAX(A$1:A124)+1</f>
        <v>17</v>
      </c>
      <c r="B125" s="35"/>
      <c r="C125" s="36" t="s">
        <v>37</v>
      </c>
      <c r="D125" s="37"/>
      <c r="E125" s="38" t="s">
        <v>38</v>
      </c>
      <c r="F125" s="39"/>
      <c r="G125" s="40" t="s">
        <v>15</v>
      </c>
      <c r="H125" s="128">
        <v>2689.84</v>
      </c>
    </row>
    <row r="126" spans="1:9">
      <c r="A126" s="145"/>
      <c r="B126" s="35"/>
      <c r="C126" s="36"/>
      <c r="D126" s="67" t="s">
        <v>39</v>
      </c>
      <c r="E126" s="71" t="s">
        <v>40</v>
      </c>
      <c r="F126" s="61"/>
      <c r="G126" s="62" t="s">
        <v>15</v>
      </c>
      <c r="H126" s="124">
        <v>2689.84</v>
      </c>
    </row>
    <row r="127" spans="1:9">
      <c r="A127" s="145"/>
      <c r="B127" s="35"/>
      <c r="C127" s="36"/>
      <c r="D127" s="67"/>
      <c r="E127" s="84" t="s">
        <v>1521</v>
      </c>
      <c r="F127" s="61"/>
      <c r="G127" s="62"/>
      <c r="H127" s="124"/>
    </row>
    <row r="128" spans="1:9" ht="25.5">
      <c r="A128" s="145"/>
      <c r="B128" s="35"/>
      <c r="C128" s="36"/>
      <c r="D128" s="67"/>
      <c r="E128" s="65" t="s">
        <v>1522</v>
      </c>
      <c r="F128" s="90">
        <f>F105*0.24</f>
        <v>18.72</v>
      </c>
      <c r="G128" s="62"/>
      <c r="H128" s="124"/>
    </row>
    <row r="129" spans="1:8" ht="25.5">
      <c r="A129" s="145"/>
      <c r="B129" s="35"/>
      <c r="C129" s="36"/>
      <c r="D129" s="67"/>
      <c r="E129" s="65" t="s">
        <v>1523</v>
      </c>
      <c r="F129" s="90">
        <f>F96*0.13</f>
        <v>222.3</v>
      </c>
      <c r="G129" s="62"/>
      <c r="H129" s="124"/>
    </row>
    <row r="130" spans="1:8" ht="38.25">
      <c r="A130" s="145"/>
      <c r="B130" s="35"/>
      <c r="C130" s="36"/>
      <c r="D130" s="67"/>
      <c r="E130" s="65" t="s">
        <v>1524</v>
      </c>
      <c r="F130" s="90">
        <f>F99*0.235</f>
        <v>762.45749999999998</v>
      </c>
      <c r="G130" s="62"/>
      <c r="H130" s="124"/>
    </row>
    <row r="131" spans="1:8" ht="25.5">
      <c r="A131" s="145"/>
      <c r="B131" s="35"/>
      <c r="C131" s="36"/>
      <c r="D131" s="67"/>
      <c r="E131" s="65" t="s">
        <v>1525</v>
      </c>
      <c r="F131" s="90">
        <f>F100*0.235</f>
        <v>7.05</v>
      </c>
      <c r="G131" s="62"/>
      <c r="H131" s="124"/>
    </row>
    <row r="132" spans="1:8" ht="25.5">
      <c r="A132" s="145"/>
      <c r="B132" s="35"/>
      <c r="C132" s="36"/>
      <c r="D132" s="67"/>
      <c r="E132" s="65" t="s">
        <v>1526</v>
      </c>
      <c r="F132" s="138">
        <f>F118*0.042</f>
        <v>9.870000000000001</v>
      </c>
      <c r="G132" s="62"/>
      <c r="H132" s="124"/>
    </row>
    <row r="133" spans="1:8">
      <c r="A133" s="145"/>
      <c r="B133" s="35"/>
      <c r="C133" s="36"/>
      <c r="D133" s="67"/>
      <c r="E133" s="71"/>
      <c r="F133" s="90">
        <f>SUM(F128:F132)</f>
        <v>1020.3974999999999</v>
      </c>
      <c r="G133" s="62"/>
      <c r="H133" s="124"/>
    </row>
    <row r="134" spans="1:8">
      <c r="A134" s="145"/>
      <c r="B134" s="35"/>
      <c r="C134" s="36"/>
      <c r="D134" s="67"/>
      <c r="E134" s="71"/>
      <c r="F134" s="61"/>
      <c r="G134" s="62"/>
      <c r="H134" s="124"/>
    </row>
    <row r="135" spans="1:8">
      <c r="A135" s="145"/>
      <c r="B135" s="35"/>
      <c r="C135" s="36"/>
      <c r="D135" s="67"/>
      <c r="E135" s="84" t="s">
        <v>71</v>
      </c>
      <c r="F135" s="61"/>
      <c r="G135" s="62"/>
      <c r="H135" s="30"/>
    </row>
    <row r="136" spans="1:8" ht="25.5">
      <c r="A136" s="145"/>
      <c r="B136" s="35"/>
      <c r="C136" s="36"/>
      <c r="D136" s="67"/>
      <c r="E136" s="65" t="s">
        <v>1527</v>
      </c>
      <c r="F136" s="46">
        <f>F64*2.2</f>
        <v>16.5</v>
      </c>
      <c r="G136" s="62"/>
      <c r="H136" s="30"/>
    </row>
    <row r="137" spans="1:8" ht="26.25">
      <c r="A137" s="145"/>
      <c r="B137" s="35"/>
      <c r="C137" s="36"/>
      <c r="D137" s="67"/>
      <c r="E137" s="68" t="s">
        <v>1528</v>
      </c>
      <c r="F137" s="46">
        <f>F71*0.44</f>
        <v>12.32</v>
      </c>
      <c r="G137" s="62"/>
      <c r="H137" s="30"/>
    </row>
    <row r="138" spans="1:8" ht="25.5">
      <c r="A138" s="145"/>
      <c r="B138" s="35"/>
      <c r="C138" s="36"/>
      <c r="D138" s="67"/>
      <c r="E138" s="65" t="s">
        <v>1529</v>
      </c>
      <c r="F138" s="90">
        <f>F75*0.181</f>
        <v>249.78</v>
      </c>
      <c r="G138" s="62"/>
      <c r="H138" s="30"/>
    </row>
    <row r="139" spans="1:8" ht="25.5">
      <c r="A139" s="145"/>
      <c r="B139" s="35"/>
      <c r="C139" s="36"/>
      <c r="D139" s="67"/>
      <c r="E139" s="65" t="s">
        <v>1530</v>
      </c>
      <c r="F139" s="46">
        <f>F79*0.288</f>
        <v>8.927999999999999</v>
      </c>
      <c r="G139" s="62"/>
      <c r="H139" s="30"/>
    </row>
    <row r="140" spans="1:8" ht="25.5">
      <c r="A140" s="145"/>
      <c r="B140" s="35"/>
      <c r="C140" s="36"/>
      <c r="D140" s="67"/>
      <c r="E140" s="65" t="s">
        <v>1531</v>
      </c>
      <c r="F140" s="90">
        <f>F80*0.288</f>
        <v>492.47999999999996</v>
      </c>
      <c r="G140" s="62"/>
      <c r="H140" s="30"/>
    </row>
    <row r="141" spans="1:8" ht="26.25">
      <c r="A141" s="145"/>
      <c r="B141" s="35"/>
      <c r="C141" s="36"/>
      <c r="D141" s="67"/>
      <c r="E141" s="68" t="s">
        <v>1532</v>
      </c>
      <c r="F141" s="90">
        <f>F81*0.288</f>
        <v>10.655999999999999</v>
      </c>
      <c r="G141" s="62"/>
      <c r="H141" s="30"/>
    </row>
    <row r="142" spans="1:8" ht="25.5">
      <c r="A142" s="145"/>
      <c r="B142" s="35"/>
      <c r="C142" s="36"/>
      <c r="D142" s="67"/>
      <c r="E142" s="65" t="s">
        <v>1533</v>
      </c>
      <c r="F142" s="90">
        <f>F86*0.22</f>
        <v>679.8</v>
      </c>
      <c r="G142" s="62"/>
      <c r="H142" s="30"/>
    </row>
    <row r="143" spans="1:8" ht="25.5">
      <c r="A143" s="145"/>
      <c r="B143" s="35"/>
      <c r="C143" s="36"/>
      <c r="D143" s="67"/>
      <c r="E143" s="65" t="s">
        <v>1534</v>
      </c>
      <c r="F143" s="90">
        <f>F88*0.44</f>
        <v>46.64</v>
      </c>
      <c r="G143" s="62"/>
      <c r="H143" s="30"/>
    </row>
    <row r="144" spans="1:8" ht="25.5">
      <c r="A144" s="145"/>
      <c r="B144" s="35"/>
      <c r="C144" s="36"/>
      <c r="D144" s="67"/>
      <c r="E144" s="65" t="s">
        <v>1535</v>
      </c>
      <c r="F144" s="90">
        <f>F92*0.45</f>
        <v>47.7</v>
      </c>
      <c r="G144" s="62"/>
      <c r="H144" s="30"/>
    </row>
    <row r="145" spans="1:12" ht="25.5">
      <c r="A145" s="145"/>
      <c r="B145" s="35"/>
      <c r="C145" s="36"/>
      <c r="D145" s="67"/>
      <c r="E145" s="65" t="s">
        <v>1536</v>
      </c>
      <c r="F145" s="90">
        <f>F98*0.235</f>
        <v>18.799999999999997</v>
      </c>
      <c r="G145" s="62"/>
      <c r="H145" s="30"/>
    </row>
    <row r="146" spans="1:12" ht="25.5">
      <c r="A146" s="145"/>
      <c r="B146" s="35"/>
      <c r="C146" s="36"/>
      <c r="D146" s="67"/>
      <c r="E146" s="65" t="s">
        <v>1537</v>
      </c>
      <c r="F146" s="90">
        <f>F106*0.24</f>
        <v>10.32</v>
      </c>
      <c r="G146" s="62"/>
      <c r="H146" s="30"/>
    </row>
    <row r="147" spans="1:12" ht="25.5">
      <c r="A147" s="145"/>
      <c r="B147" s="35"/>
      <c r="C147" s="36"/>
      <c r="D147" s="67"/>
      <c r="E147" s="65" t="s">
        <v>1538</v>
      </c>
      <c r="F147" s="46">
        <f>F111*0.23</f>
        <v>16.100000000000001</v>
      </c>
      <c r="G147" s="62"/>
      <c r="H147" s="30"/>
    </row>
    <row r="148" spans="1:12" ht="25.5">
      <c r="A148" s="145"/>
      <c r="B148" s="35"/>
      <c r="C148" s="36"/>
      <c r="D148" s="67"/>
      <c r="E148" s="65" t="s">
        <v>1539</v>
      </c>
      <c r="F148" s="90">
        <f>F113*0.04</f>
        <v>2</v>
      </c>
      <c r="G148" s="62"/>
      <c r="H148" s="30"/>
    </row>
    <row r="149" spans="1:12" ht="25.5">
      <c r="A149" s="145"/>
      <c r="B149" s="35"/>
      <c r="C149" s="36"/>
      <c r="D149" s="67"/>
      <c r="E149" s="65" t="s">
        <v>1540</v>
      </c>
      <c r="F149" s="90">
        <f>F114*0.04</f>
        <v>0.28000000000000003</v>
      </c>
      <c r="G149" s="62"/>
      <c r="H149" s="30"/>
    </row>
    <row r="150" spans="1:12" ht="26.25">
      <c r="A150" s="145"/>
      <c r="B150" s="35"/>
      <c r="C150" s="36"/>
      <c r="D150" s="67"/>
      <c r="E150" s="68" t="s">
        <v>1541</v>
      </c>
      <c r="F150" s="138">
        <f>F162*0.153</f>
        <v>55.08</v>
      </c>
      <c r="G150" s="62"/>
      <c r="H150" s="30"/>
    </row>
    <row r="151" spans="1:12">
      <c r="A151" s="145"/>
      <c r="B151" s="35"/>
      <c r="C151" s="36"/>
      <c r="D151" s="67"/>
      <c r="E151" s="65"/>
      <c r="F151" s="90">
        <f>SUM(F136:F150)</f>
        <v>1667.3839999999998</v>
      </c>
      <c r="G151" s="62"/>
      <c r="H151" s="30"/>
    </row>
    <row r="152" spans="1:12">
      <c r="A152" s="145"/>
      <c r="B152" s="35"/>
      <c r="C152" s="36"/>
      <c r="D152" s="67"/>
      <c r="E152" s="65"/>
      <c r="F152" s="90"/>
      <c r="G152" s="62"/>
      <c r="H152" s="30"/>
    </row>
    <row r="153" spans="1:12">
      <c r="A153" s="145"/>
      <c r="B153" s="35"/>
      <c r="C153" s="36"/>
      <c r="D153" s="67"/>
      <c r="E153" s="84" t="s">
        <v>142</v>
      </c>
      <c r="F153" s="90"/>
      <c r="G153" s="62"/>
      <c r="H153" s="30"/>
    </row>
    <row r="154" spans="1:12">
      <c r="A154" s="145"/>
      <c r="B154" s="35"/>
      <c r="C154" s="36"/>
      <c r="D154" s="67"/>
      <c r="E154" s="65" t="s">
        <v>1542</v>
      </c>
      <c r="F154" s="90">
        <v>1.4850000000000001</v>
      </c>
      <c r="G154" s="62"/>
      <c r="H154" s="30"/>
    </row>
    <row r="155" spans="1:12" ht="25.5">
      <c r="A155" s="145"/>
      <c r="B155" s="35"/>
      <c r="C155" s="36"/>
      <c r="D155" s="67"/>
      <c r="E155" s="65" t="s">
        <v>1543</v>
      </c>
      <c r="F155" s="90">
        <f>F121*0.082</f>
        <v>0.41000000000000003</v>
      </c>
      <c r="G155" s="62"/>
      <c r="H155" s="30"/>
    </row>
    <row r="156" spans="1:12" ht="38.25">
      <c r="A156" s="145"/>
      <c r="B156" s="35"/>
      <c r="C156" s="36"/>
      <c r="D156" s="67"/>
      <c r="E156" s="65" t="s">
        <v>1544</v>
      </c>
      <c r="F156" s="138">
        <f>F122*0.082</f>
        <v>0.16400000000000001</v>
      </c>
      <c r="G156" s="62"/>
      <c r="H156" s="30"/>
    </row>
    <row r="157" spans="1:12">
      <c r="A157" s="145"/>
      <c r="B157" s="35"/>
      <c r="C157" s="36"/>
      <c r="D157" s="67"/>
      <c r="E157" s="65"/>
      <c r="F157" s="90">
        <f>SUM(F154:F156)</f>
        <v>2.0590000000000002</v>
      </c>
      <c r="G157" s="62"/>
      <c r="H157" s="30"/>
      <c r="L157" s="120"/>
    </row>
    <row r="158" spans="1:12">
      <c r="A158" s="145"/>
      <c r="B158" s="35"/>
      <c r="C158" s="36"/>
      <c r="D158" s="67"/>
      <c r="E158" s="91" t="s">
        <v>41</v>
      </c>
      <c r="F158" s="92">
        <f>F133+F151+F157</f>
        <v>2689.8404999999998</v>
      </c>
      <c r="G158" s="62"/>
      <c r="H158" s="30"/>
    </row>
    <row r="159" spans="1:12">
      <c r="A159" s="145"/>
      <c r="B159" s="35"/>
      <c r="C159" s="36"/>
      <c r="D159" s="67"/>
      <c r="E159" s="65"/>
      <c r="F159" s="90"/>
      <c r="G159" s="62"/>
      <c r="H159" s="30"/>
    </row>
    <row r="160" spans="1:12" ht="25.5">
      <c r="A160" s="34">
        <f>MAX(A$1:A159)+1</f>
        <v>18</v>
      </c>
      <c r="B160" s="35"/>
      <c r="C160" s="36" t="s">
        <v>42</v>
      </c>
      <c r="D160" s="37"/>
      <c r="E160" s="38" t="s">
        <v>43</v>
      </c>
      <c r="F160" s="39"/>
      <c r="G160" s="40" t="s">
        <v>21</v>
      </c>
      <c r="H160" s="128">
        <v>360</v>
      </c>
    </row>
    <row r="161" spans="1:9" ht="25.5">
      <c r="A161" s="145"/>
      <c r="B161" s="35"/>
      <c r="C161" s="36"/>
      <c r="D161" s="67" t="s">
        <v>750</v>
      </c>
      <c r="E161" s="71" t="s">
        <v>751</v>
      </c>
      <c r="F161" s="61"/>
      <c r="G161" s="62" t="s">
        <v>21</v>
      </c>
      <c r="H161" s="124">
        <v>360</v>
      </c>
    </row>
    <row r="162" spans="1:9" ht="18.75" customHeight="1">
      <c r="A162" s="145"/>
      <c r="B162" s="35"/>
      <c r="C162" s="36"/>
      <c r="D162" s="37"/>
      <c r="E162" s="68" t="s">
        <v>1545</v>
      </c>
      <c r="F162" s="90">
        <v>360</v>
      </c>
      <c r="G162" s="40"/>
      <c r="H162" s="30"/>
    </row>
    <row r="163" spans="1:9" ht="18.75" customHeight="1">
      <c r="A163" s="145"/>
      <c r="B163" s="35"/>
      <c r="C163" s="36"/>
      <c r="D163" s="37"/>
      <c r="E163" s="68"/>
      <c r="F163" s="90"/>
      <c r="G163" s="40"/>
      <c r="H163" s="30"/>
    </row>
    <row r="164" spans="1:9" ht="25.5">
      <c r="A164" s="34">
        <f>MAX(A$1:A163)+1</f>
        <v>19</v>
      </c>
      <c r="B164" s="35"/>
      <c r="C164" s="36" t="s">
        <v>280</v>
      </c>
      <c r="D164" s="37"/>
      <c r="E164" s="38" t="s">
        <v>281</v>
      </c>
      <c r="F164" s="39"/>
      <c r="G164" s="40" t="s">
        <v>36</v>
      </c>
      <c r="H164" s="128">
        <v>9</v>
      </c>
    </row>
    <row r="165" spans="1:9" ht="25.5">
      <c r="A165" s="145"/>
      <c r="B165" s="35"/>
      <c r="C165" s="66"/>
      <c r="D165" s="67" t="s">
        <v>470</v>
      </c>
      <c r="E165" s="71" t="s">
        <v>471</v>
      </c>
      <c r="F165" s="61"/>
      <c r="G165" s="62" t="s">
        <v>36</v>
      </c>
      <c r="H165" s="124">
        <v>9</v>
      </c>
    </row>
    <row r="166" spans="1:9" ht="18.75" customHeight="1">
      <c r="A166" s="145"/>
      <c r="B166" s="35"/>
      <c r="C166" s="36"/>
      <c r="D166" s="37"/>
      <c r="E166" s="68" t="s">
        <v>963</v>
      </c>
      <c r="F166" s="90">
        <v>9</v>
      </c>
      <c r="G166" s="40"/>
      <c r="H166" s="30"/>
    </row>
    <row r="167" spans="1:9" ht="18.75" customHeight="1">
      <c r="A167" s="145"/>
      <c r="B167" s="35"/>
      <c r="C167" s="36"/>
      <c r="D167" s="37"/>
      <c r="E167" s="68"/>
      <c r="F167" s="90"/>
      <c r="G167" s="40"/>
      <c r="H167" s="30"/>
    </row>
    <row r="168" spans="1:9" ht="25.5">
      <c r="A168" s="34">
        <f>MAX(A$1:A167)+1</f>
        <v>20</v>
      </c>
      <c r="B168" s="35"/>
      <c r="C168" s="36" t="s">
        <v>233</v>
      </c>
      <c r="D168" s="37"/>
      <c r="E168" s="38" t="s">
        <v>234</v>
      </c>
      <c r="F168" s="39"/>
      <c r="G168" s="40" t="s">
        <v>36</v>
      </c>
      <c r="H168" s="128">
        <v>777</v>
      </c>
      <c r="I168" s="695"/>
    </row>
    <row r="169" spans="1:9" ht="25.5">
      <c r="A169" s="145"/>
      <c r="B169" s="35"/>
      <c r="C169" s="36"/>
      <c r="D169" s="67" t="s">
        <v>235</v>
      </c>
      <c r="E169" s="71" t="s">
        <v>236</v>
      </c>
      <c r="F169" s="61"/>
      <c r="G169" s="62" t="s">
        <v>36</v>
      </c>
      <c r="H169" s="124">
        <v>419</v>
      </c>
    </row>
    <row r="170" spans="1:9">
      <c r="A170" s="145"/>
      <c r="B170" s="35"/>
      <c r="C170" s="36"/>
      <c r="D170" s="37"/>
      <c r="E170" s="65" t="s">
        <v>967</v>
      </c>
      <c r="F170" s="46">
        <v>419</v>
      </c>
      <c r="G170" s="40"/>
      <c r="H170" s="128"/>
    </row>
    <row r="171" spans="1:9" ht="25.5">
      <c r="A171" s="145"/>
      <c r="B171" s="35"/>
      <c r="C171" s="36"/>
      <c r="D171" s="67" t="s">
        <v>449</v>
      </c>
      <c r="E171" s="71" t="s">
        <v>450</v>
      </c>
      <c r="F171" s="61"/>
      <c r="G171" s="62" t="s">
        <v>36</v>
      </c>
      <c r="H171" s="124">
        <v>220</v>
      </c>
    </row>
    <row r="172" spans="1:9">
      <c r="A172" s="145"/>
      <c r="B172" s="35"/>
      <c r="C172" s="36"/>
      <c r="D172" s="37"/>
      <c r="E172" s="68" t="s">
        <v>968</v>
      </c>
      <c r="F172" s="46">
        <v>220</v>
      </c>
      <c r="G172" s="40"/>
      <c r="H172" s="128"/>
    </row>
    <row r="173" spans="1:9" ht="25.5">
      <c r="A173" s="145"/>
      <c r="B173" s="35"/>
      <c r="C173" s="36"/>
      <c r="D173" s="67" t="s">
        <v>282</v>
      </c>
      <c r="E173" s="71" t="s">
        <v>283</v>
      </c>
      <c r="F173" s="61"/>
      <c r="G173" s="62" t="s">
        <v>36</v>
      </c>
      <c r="H173" s="124">
        <v>138</v>
      </c>
    </row>
    <row r="174" spans="1:9">
      <c r="A174" s="145"/>
      <c r="B174" s="35"/>
      <c r="C174" s="36"/>
      <c r="D174" s="37"/>
      <c r="E174" s="68" t="s">
        <v>969</v>
      </c>
      <c r="F174" s="90">
        <v>138</v>
      </c>
      <c r="G174" s="40"/>
      <c r="H174" s="30"/>
    </row>
    <row r="175" spans="1:9">
      <c r="A175" s="145"/>
      <c r="B175" s="35"/>
      <c r="C175" s="36"/>
      <c r="D175" s="37"/>
      <c r="E175" s="68"/>
      <c r="F175" s="90"/>
      <c r="G175" s="40"/>
      <c r="H175" s="30"/>
    </row>
    <row r="176" spans="1:9">
      <c r="A176" s="145"/>
      <c r="B176" s="35" t="s">
        <v>44</v>
      </c>
      <c r="C176" s="93"/>
      <c r="D176" s="94"/>
      <c r="E176" s="96" t="s">
        <v>45</v>
      </c>
      <c r="F176" s="46"/>
      <c r="G176" s="40"/>
      <c r="H176" s="30"/>
    </row>
    <row r="177" spans="1:8">
      <c r="A177" s="145"/>
      <c r="B177" s="31"/>
      <c r="C177" s="36"/>
      <c r="D177" s="37"/>
      <c r="E177" s="38"/>
      <c r="F177" s="46"/>
      <c r="G177" s="40"/>
      <c r="H177" s="30"/>
    </row>
    <row r="178" spans="1:8">
      <c r="A178" s="34">
        <f>MAX(A$1:A177)+1</f>
        <v>21</v>
      </c>
      <c r="B178" s="31"/>
      <c r="C178" s="36" t="s">
        <v>284</v>
      </c>
      <c r="D178" s="37"/>
      <c r="E178" s="38" t="s">
        <v>285</v>
      </c>
      <c r="F178" s="39"/>
      <c r="G178" s="40" t="s">
        <v>21</v>
      </c>
      <c r="H178" s="128">
        <v>459</v>
      </c>
    </row>
    <row r="179" spans="1:8">
      <c r="A179" s="145"/>
      <c r="B179" s="31"/>
      <c r="C179" s="66"/>
      <c r="D179" s="67" t="s">
        <v>286</v>
      </c>
      <c r="E179" s="71" t="s">
        <v>287</v>
      </c>
      <c r="F179" s="61"/>
      <c r="G179" s="62" t="s">
        <v>21</v>
      </c>
      <c r="H179" s="124">
        <v>459</v>
      </c>
    </row>
    <row r="180" spans="1:8">
      <c r="A180" s="145"/>
      <c r="B180" s="31"/>
      <c r="C180" s="66"/>
      <c r="D180" s="67"/>
      <c r="E180" s="65" t="s">
        <v>970</v>
      </c>
      <c r="F180" s="90">
        <v>459</v>
      </c>
      <c r="G180" s="62"/>
      <c r="H180" s="30"/>
    </row>
    <row r="181" spans="1:8">
      <c r="A181" s="145"/>
      <c r="B181" s="31"/>
      <c r="C181" s="66"/>
      <c r="D181" s="67"/>
      <c r="E181" s="71"/>
      <c r="F181" s="61"/>
      <c r="G181" s="62"/>
      <c r="H181" s="30"/>
    </row>
    <row r="182" spans="1:8">
      <c r="A182" s="34">
        <f>MAX(A$1:A181)+1</f>
        <v>22</v>
      </c>
      <c r="B182" s="89"/>
      <c r="C182" s="36" t="s">
        <v>50</v>
      </c>
      <c r="D182" s="37"/>
      <c r="E182" s="38" t="s">
        <v>51</v>
      </c>
      <c r="F182" s="39"/>
      <c r="G182" s="40" t="s">
        <v>18</v>
      </c>
      <c r="H182" s="128">
        <v>45.900000000000006</v>
      </c>
    </row>
    <row r="183" spans="1:8" ht="25.5">
      <c r="A183" s="145"/>
      <c r="B183" s="31"/>
      <c r="C183" s="66"/>
      <c r="D183" s="67" t="s">
        <v>288</v>
      </c>
      <c r="E183" s="71" t="s">
        <v>289</v>
      </c>
      <c r="F183" s="61"/>
      <c r="G183" s="62" t="s">
        <v>18</v>
      </c>
      <c r="H183" s="124">
        <v>45.900000000000006</v>
      </c>
    </row>
    <row r="184" spans="1:8" ht="25.5">
      <c r="A184" s="145"/>
      <c r="B184" s="31"/>
      <c r="C184" s="66"/>
      <c r="D184" s="67"/>
      <c r="E184" s="86" t="s">
        <v>1546</v>
      </c>
      <c r="F184" s="46">
        <f>F180*0.1</f>
        <v>45.900000000000006</v>
      </c>
      <c r="G184" s="62"/>
      <c r="H184" s="30"/>
    </row>
    <row r="185" spans="1:8">
      <c r="A185" s="145"/>
      <c r="B185" s="31"/>
      <c r="C185" s="66"/>
      <c r="D185" s="67"/>
      <c r="E185" s="71"/>
      <c r="F185" s="61"/>
      <c r="G185" s="62"/>
      <c r="H185" s="30"/>
    </row>
    <row r="186" spans="1:8">
      <c r="A186" s="145"/>
      <c r="B186" s="35" t="s">
        <v>87</v>
      </c>
      <c r="C186" s="93"/>
      <c r="D186" s="94"/>
      <c r="E186" s="50" t="s">
        <v>88</v>
      </c>
      <c r="F186" s="81"/>
      <c r="G186" s="62"/>
      <c r="H186" s="30"/>
    </row>
    <row r="187" spans="1:8">
      <c r="A187" s="34"/>
      <c r="B187" s="256"/>
      <c r="C187" s="79"/>
      <c r="D187" s="67"/>
      <c r="E187" s="91"/>
      <c r="F187" s="81"/>
      <c r="G187" s="62"/>
      <c r="H187" s="30"/>
    </row>
    <row r="188" spans="1:8">
      <c r="A188" s="34">
        <f>MAX(A$1:A187)+1</f>
        <v>23</v>
      </c>
      <c r="B188" s="256"/>
      <c r="C188" s="36" t="s">
        <v>62</v>
      </c>
      <c r="D188" s="37"/>
      <c r="E188" s="38" t="s">
        <v>63</v>
      </c>
      <c r="F188" s="39"/>
      <c r="G188" s="40" t="s">
        <v>18</v>
      </c>
      <c r="H188" s="128">
        <v>68.849999999999994</v>
      </c>
    </row>
    <row r="189" spans="1:8" ht="25.5">
      <c r="A189" s="34"/>
      <c r="B189" s="256"/>
      <c r="C189" s="66"/>
      <c r="D189" s="67" t="s">
        <v>64</v>
      </c>
      <c r="E189" s="71" t="s">
        <v>89</v>
      </c>
      <c r="F189" s="61"/>
      <c r="G189" s="62" t="s">
        <v>18</v>
      </c>
      <c r="H189" s="124">
        <v>68.849999999999994</v>
      </c>
    </row>
    <row r="190" spans="1:8">
      <c r="A190" s="34"/>
      <c r="B190" s="256"/>
      <c r="C190" s="66"/>
      <c r="D190" s="67"/>
      <c r="E190" s="65" t="s">
        <v>1547</v>
      </c>
      <c r="F190" s="46">
        <f>0.15*459</f>
        <v>68.849999999999994</v>
      </c>
      <c r="G190" s="62"/>
      <c r="H190" s="30"/>
    </row>
    <row r="191" spans="1:8">
      <c r="A191" s="34"/>
      <c r="B191" s="256"/>
      <c r="C191" s="66"/>
      <c r="D191" s="67"/>
      <c r="E191" s="71"/>
      <c r="F191" s="61"/>
      <c r="G191" s="62"/>
      <c r="H191" s="30"/>
    </row>
    <row r="192" spans="1:8">
      <c r="A192" s="34">
        <f>MAX(A$1:A191)+1</f>
        <v>24</v>
      </c>
      <c r="B192" s="31"/>
      <c r="C192" s="36" t="s">
        <v>83</v>
      </c>
      <c r="D192" s="37"/>
      <c r="E192" s="38" t="s">
        <v>84</v>
      </c>
      <c r="F192" s="39"/>
      <c r="G192" s="40" t="s">
        <v>18</v>
      </c>
      <c r="H192" s="128">
        <v>68.849999999999994</v>
      </c>
    </row>
    <row r="193" spans="1:21" ht="25.5">
      <c r="A193" s="268"/>
      <c r="B193" s="31"/>
      <c r="C193" s="66"/>
      <c r="D193" s="67" t="s">
        <v>85</v>
      </c>
      <c r="E193" s="71" t="s">
        <v>86</v>
      </c>
      <c r="F193" s="61"/>
      <c r="G193" s="62" t="s">
        <v>18</v>
      </c>
      <c r="H193" s="124">
        <v>68.849999999999994</v>
      </c>
    </row>
    <row r="194" spans="1:21">
      <c r="A194" s="268"/>
      <c r="B194" s="31"/>
      <c r="C194" s="66"/>
      <c r="D194" s="67"/>
      <c r="E194" s="65" t="s">
        <v>623</v>
      </c>
      <c r="F194" s="46">
        <f>F190</f>
        <v>68.849999999999994</v>
      </c>
      <c r="G194" s="62"/>
      <c r="H194" s="30"/>
    </row>
    <row r="195" spans="1:21">
      <c r="A195" s="268"/>
      <c r="B195" s="31"/>
      <c r="C195" s="66"/>
      <c r="D195" s="67"/>
      <c r="E195" s="65"/>
      <c r="F195" s="68"/>
      <c r="G195" s="62"/>
      <c r="H195" s="30"/>
    </row>
    <row r="196" spans="1:21" ht="25.5">
      <c r="A196" s="34">
        <f>MAX(A$1:A195)+1</f>
        <v>25</v>
      </c>
      <c r="B196" s="31"/>
      <c r="C196" s="36" t="s">
        <v>90</v>
      </c>
      <c r="D196" s="37"/>
      <c r="E196" s="38" t="s">
        <v>91</v>
      </c>
      <c r="F196" s="39"/>
      <c r="G196" s="40" t="s">
        <v>21</v>
      </c>
      <c r="H196" s="128">
        <v>459</v>
      </c>
    </row>
    <row r="197" spans="1:21" ht="25.5">
      <c r="A197" s="268"/>
      <c r="B197" s="31"/>
      <c r="C197" s="66"/>
      <c r="D197" s="67" t="s">
        <v>92</v>
      </c>
      <c r="E197" s="71" t="s">
        <v>93</v>
      </c>
      <c r="F197" s="61"/>
      <c r="G197" s="62" t="s">
        <v>21</v>
      </c>
      <c r="H197" s="124">
        <v>459</v>
      </c>
    </row>
    <row r="198" spans="1:21">
      <c r="A198" s="268"/>
      <c r="B198" s="31"/>
      <c r="C198" s="66"/>
      <c r="D198" s="67"/>
      <c r="E198" s="65" t="s">
        <v>973</v>
      </c>
      <c r="F198" s="90">
        <f>F190/0.15</f>
        <v>459</v>
      </c>
      <c r="G198" s="62"/>
      <c r="H198" s="30"/>
    </row>
    <row r="199" spans="1:21">
      <c r="A199" s="268"/>
      <c r="B199" s="31"/>
      <c r="C199" s="66"/>
      <c r="D199" s="67"/>
      <c r="E199" s="65"/>
      <c r="F199" s="90"/>
      <c r="G199" s="62"/>
      <c r="H199" s="30"/>
    </row>
    <row r="200" spans="1:21" ht="25.5">
      <c r="A200" s="34">
        <f>MAX(A$1:A199)+1</f>
        <v>26</v>
      </c>
      <c r="B200" s="31"/>
      <c r="C200" s="36" t="s">
        <v>140</v>
      </c>
      <c r="D200" s="37"/>
      <c r="E200" s="38" t="s">
        <v>141</v>
      </c>
      <c r="F200" s="39"/>
      <c r="G200" s="40" t="s">
        <v>21</v>
      </c>
      <c r="H200" s="128">
        <v>459</v>
      </c>
      <c r="I200" s="693"/>
    </row>
    <row r="201" spans="1:21" ht="25.5">
      <c r="A201" s="268"/>
      <c r="B201" s="31"/>
      <c r="C201" s="66"/>
      <c r="D201" s="67" t="s">
        <v>974</v>
      </c>
      <c r="E201" s="71" t="s">
        <v>975</v>
      </c>
      <c r="F201" s="61"/>
      <c r="G201" s="62" t="s">
        <v>21</v>
      </c>
      <c r="H201" s="124">
        <v>459</v>
      </c>
    </row>
    <row r="202" spans="1:21">
      <c r="A202" s="268"/>
      <c r="B202" s="31"/>
      <c r="C202" s="66"/>
      <c r="D202" s="67"/>
      <c r="E202" s="65" t="s">
        <v>976</v>
      </c>
      <c r="F202" s="90">
        <f>F198</f>
        <v>459</v>
      </c>
      <c r="G202" s="62"/>
      <c r="H202" s="30"/>
    </row>
    <row r="203" spans="1:21">
      <c r="A203" s="268"/>
      <c r="B203" s="31"/>
      <c r="C203" s="66"/>
      <c r="D203" s="67"/>
      <c r="E203" s="65"/>
      <c r="F203" s="90"/>
      <c r="G203" s="62"/>
      <c r="H203" s="30"/>
    </row>
    <row r="204" spans="1:21" ht="25.5">
      <c r="A204" s="34">
        <f>MAX(A$1:A203)+1</f>
        <v>27</v>
      </c>
      <c r="B204" s="31"/>
      <c r="C204" s="36" t="s">
        <v>98</v>
      </c>
      <c r="D204" s="37"/>
      <c r="E204" s="38" t="s">
        <v>99</v>
      </c>
      <c r="F204" s="277"/>
      <c r="G204" s="40" t="s">
        <v>21</v>
      </c>
      <c r="H204" s="128">
        <v>459</v>
      </c>
    </row>
    <row r="205" spans="1:21" ht="25.5">
      <c r="A205" s="268"/>
      <c r="B205" s="31"/>
      <c r="C205" s="66"/>
      <c r="D205" s="67" t="s">
        <v>100</v>
      </c>
      <c r="E205" s="71" t="s">
        <v>101</v>
      </c>
      <c r="F205" s="275"/>
      <c r="G205" s="62" t="s">
        <v>21</v>
      </c>
      <c r="H205" s="124">
        <v>459</v>
      </c>
    </row>
    <row r="206" spans="1:21">
      <c r="A206" s="268"/>
      <c r="B206" s="31"/>
      <c r="C206" s="66"/>
      <c r="D206" s="67"/>
      <c r="E206" s="65" t="s">
        <v>102</v>
      </c>
      <c r="F206" s="90">
        <f>F202</f>
        <v>459</v>
      </c>
      <c r="G206" s="62"/>
      <c r="H206" s="30"/>
    </row>
    <row r="207" spans="1:21">
      <c r="A207" s="268"/>
      <c r="B207" s="31"/>
      <c r="C207" s="66"/>
      <c r="D207" s="67"/>
      <c r="E207" s="65"/>
      <c r="F207" s="68"/>
      <c r="G207" s="62"/>
      <c r="H207" s="30"/>
    </row>
    <row r="208" spans="1:21" s="98" customFormat="1">
      <c r="A208" s="95"/>
      <c r="B208" s="35" t="s">
        <v>54</v>
      </c>
      <c r="C208" s="93"/>
      <c r="D208" s="94"/>
      <c r="E208" s="50" t="s">
        <v>55</v>
      </c>
      <c r="F208" s="100"/>
      <c r="G208" s="101"/>
      <c r="H208" s="42"/>
      <c r="I208" s="208"/>
      <c r="J208"/>
      <c r="K208"/>
      <c r="L208"/>
      <c r="Q208"/>
      <c r="U208" s="222"/>
    </row>
    <row r="209" spans="1:21" s="98" customFormat="1">
      <c r="A209" s="95"/>
      <c r="B209" s="35"/>
      <c r="C209" s="93"/>
      <c r="D209" s="94"/>
      <c r="E209" s="50"/>
      <c r="F209" s="100"/>
      <c r="G209" s="101"/>
      <c r="H209" s="42"/>
      <c r="I209" s="208"/>
      <c r="J209"/>
      <c r="K209"/>
      <c r="L209"/>
      <c r="Q209"/>
      <c r="U209" s="222"/>
    </row>
    <row r="210" spans="1:21" s="98" customFormat="1">
      <c r="A210" s="34">
        <f>MAX(A$1:A209)+1</f>
        <v>28</v>
      </c>
      <c r="B210" s="35"/>
      <c r="C210" s="36" t="s">
        <v>150</v>
      </c>
      <c r="D210" s="66"/>
      <c r="E210" s="38" t="s">
        <v>151</v>
      </c>
      <c r="F210" s="39"/>
      <c r="G210" s="40" t="s">
        <v>18</v>
      </c>
      <c r="H210" s="52">
        <v>68.849999999999994</v>
      </c>
      <c r="I210" s="208"/>
      <c r="J210"/>
      <c r="K210"/>
      <c r="L210"/>
      <c r="Q210"/>
      <c r="U210" s="222"/>
    </row>
    <row r="211" spans="1:21" s="98" customFormat="1" ht="25.5">
      <c r="A211" s="95"/>
      <c r="B211" s="35"/>
      <c r="C211" s="37"/>
      <c r="D211" s="67" t="s">
        <v>152</v>
      </c>
      <c r="E211" s="71" t="s">
        <v>153</v>
      </c>
      <c r="F211" s="61"/>
      <c r="G211" s="62" t="s">
        <v>18</v>
      </c>
      <c r="H211" s="99">
        <v>68.849999999999994</v>
      </c>
      <c r="I211" s="208"/>
      <c r="J211"/>
      <c r="K211"/>
      <c r="L211"/>
      <c r="Q211"/>
      <c r="U211" s="222"/>
    </row>
    <row r="212" spans="1:21" s="98" customFormat="1">
      <c r="A212" s="95"/>
      <c r="B212" s="35"/>
      <c r="C212" s="93"/>
      <c r="D212" s="94"/>
      <c r="E212" s="65" t="s">
        <v>1548</v>
      </c>
      <c r="F212" s="212">
        <f>0.15*459</f>
        <v>68.849999999999994</v>
      </c>
      <c r="G212" s="101"/>
      <c r="H212" s="42"/>
      <c r="I212" s="208"/>
      <c r="J212"/>
      <c r="K212"/>
      <c r="L212"/>
      <c r="Q212"/>
      <c r="U212" s="222"/>
    </row>
    <row r="213" spans="1:21" s="98" customFormat="1">
      <c r="A213" s="95"/>
      <c r="B213" s="35"/>
      <c r="C213" s="93"/>
      <c r="D213" s="94"/>
      <c r="E213" s="65"/>
      <c r="F213" s="212"/>
      <c r="G213" s="101"/>
      <c r="H213" s="42"/>
      <c r="I213" s="208"/>
      <c r="J213"/>
      <c r="K213"/>
      <c r="L213"/>
      <c r="Q213"/>
      <c r="U213" s="222"/>
    </row>
    <row r="214" spans="1:21" s="98" customFormat="1">
      <c r="A214" s="34">
        <f>MAX(A$1:A213)+1</f>
        <v>29</v>
      </c>
      <c r="B214" s="35"/>
      <c r="C214" s="36" t="s">
        <v>237</v>
      </c>
      <c r="D214" s="66"/>
      <c r="E214" s="38" t="s">
        <v>238</v>
      </c>
      <c r="F214" s="39"/>
      <c r="G214" s="40" t="s">
        <v>18</v>
      </c>
      <c r="H214" s="52">
        <v>99.2</v>
      </c>
      <c r="I214" s="208"/>
      <c r="J214"/>
      <c r="K214"/>
      <c r="L214"/>
      <c r="Q214"/>
      <c r="U214" s="222"/>
    </row>
    <row r="215" spans="1:21" s="98" customFormat="1" ht="25.5">
      <c r="A215" s="95"/>
      <c r="B215" s="35"/>
      <c r="C215" s="93"/>
      <c r="D215" s="66" t="s">
        <v>239</v>
      </c>
      <c r="E215" s="71" t="s">
        <v>240</v>
      </c>
      <c r="F215" s="61"/>
      <c r="G215" s="62" t="s">
        <v>18</v>
      </c>
      <c r="H215" s="99">
        <v>99.2</v>
      </c>
      <c r="I215" s="208"/>
      <c r="J215"/>
      <c r="K215"/>
      <c r="L215"/>
      <c r="Q215"/>
      <c r="U215" s="222"/>
    </row>
    <row r="216" spans="1:21" s="98" customFormat="1">
      <c r="A216" s="95"/>
      <c r="B216" s="35"/>
      <c r="C216" s="93"/>
      <c r="D216" s="94"/>
      <c r="E216" s="65" t="s">
        <v>1549</v>
      </c>
      <c r="F216" s="212">
        <v>37.6</v>
      </c>
      <c r="G216" s="101"/>
      <c r="H216" s="42"/>
      <c r="I216" s="208"/>
      <c r="J216"/>
      <c r="K216"/>
      <c r="L216"/>
      <c r="Q216"/>
      <c r="U216" s="222"/>
    </row>
    <row r="217" spans="1:21" s="98" customFormat="1" ht="25.5">
      <c r="A217" s="95"/>
      <c r="B217" s="35"/>
      <c r="C217" s="93"/>
      <c r="D217" s="94"/>
      <c r="E217" s="65" t="s">
        <v>1550</v>
      </c>
      <c r="F217" s="213">
        <f>0.4*154</f>
        <v>61.6</v>
      </c>
      <c r="G217" s="101"/>
      <c r="H217" s="42"/>
      <c r="I217" s="208"/>
      <c r="J217"/>
      <c r="K217"/>
      <c r="L217"/>
      <c r="Q217"/>
      <c r="U217" s="222"/>
    </row>
    <row r="218" spans="1:21" s="98" customFormat="1">
      <c r="A218" s="95"/>
      <c r="B218" s="35"/>
      <c r="C218" s="93"/>
      <c r="D218" s="94"/>
      <c r="E218" s="65"/>
      <c r="F218" s="212">
        <f>SUM(F216:F217)</f>
        <v>99.2</v>
      </c>
      <c r="G218" s="101"/>
      <c r="H218" s="42"/>
      <c r="I218" s="208"/>
      <c r="J218"/>
      <c r="K218"/>
      <c r="L218"/>
      <c r="Q218"/>
      <c r="U218" s="222"/>
    </row>
    <row r="219" spans="1:21" s="98" customFormat="1">
      <c r="A219" s="95"/>
      <c r="B219" s="35"/>
      <c r="C219" s="93"/>
      <c r="D219" s="94"/>
      <c r="E219" s="65"/>
      <c r="F219" s="212"/>
      <c r="G219" s="101"/>
      <c r="H219" s="42"/>
      <c r="I219" s="208"/>
      <c r="J219"/>
      <c r="K219"/>
      <c r="L219"/>
      <c r="Q219"/>
      <c r="U219" s="222"/>
    </row>
    <row r="220" spans="1:21" s="98" customFormat="1">
      <c r="A220" s="34">
        <f>MAX(A$1:A219)+1</f>
        <v>30</v>
      </c>
      <c r="B220" s="35"/>
      <c r="C220" s="36" t="s">
        <v>74</v>
      </c>
      <c r="D220" s="37"/>
      <c r="E220" s="38" t="s">
        <v>75</v>
      </c>
      <c r="F220" s="39"/>
      <c r="G220" s="40" t="s">
        <v>18</v>
      </c>
      <c r="H220" s="52">
        <v>10.219999999999999</v>
      </c>
      <c r="I220" s="208"/>
      <c r="J220"/>
      <c r="K220"/>
      <c r="L220"/>
      <c r="Q220"/>
      <c r="U220" s="222"/>
    </row>
    <row r="221" spans="1:21" s="98" customFormat="1">
      <c r="A221" s="95"/>
      <c r="B221" s="35"/>
      <c r="C221" s="93"/>
      <c r="D221" s="67" t="s">
        <v>76</v>
      </c>
      <c r="E221" s="71" t="s">
        <v>77</v>
      </c>
      <c r="F221" s="61"/>
      <c r="G221" s="62" t="s">
        <v>18</v>
      </c>
      <c r="H221" s="99">
        <v>10.219999999999999</v>
      </c>
      <c r="I221" s="208"/>
      <c r="J221"/>
      <c r="K221"/>
      <c r="L221"/>
      <c r="Q221"/>
      <c r="U221" s="222"/>
    </row>
    <row r="222" spans="1:21" s="98" customFormat="1">
      <c r="A222" s="95"/>
      <c r="B222" s="35"/>
      <c r="C222" s="93"/>
      <c r="D222" s="94"/>
      <c r="E222" s="65" t="s">
        <v>1551</v>
      </c>
      <c r="F222" s="212">
        <f>3.8*1.4*1+3.5*1.4*1</f>
        <v>10.219999999999999</v>
      </c>
      <c r="G222" s="101"/>
      <c r="H222" s="42"/>
      <c r="I222" s="208"/>
      <c r="J222"/>
      <c r="K222"/>
      <c r="L222"/>
      <c r="Q222"/>
      <c r="U222" s="222"/>
    </row>
    <row r="223" spans="1:21" s="98" customFormat="1">
      <c r="A223" s="95"/>
      <c r="B223" s="35"/>
      <c r="C223" s="93"/>
      <c r="D223" s="94"/>
      <c r="E223" s="65"/>
      <c r="F223" s="212"/>
      <c r="G223" s="101"/>
      <c r="H223" s="42"/>
      <c r="I223" s="208"/>
      <c r="J223"/>
      <c r="K223"/>
      <c r="L223"/>
      <c r="Q223"/>
      <c r="U223" s="222"/>
    </row>
    <row r="224" spans="1:21" s="98" customFormat="1">
      <c r="A224" s="34">
        <f>MAX(A$1:A223)+1</f>
        <v>31</v>
      </c>
      <c r="B224" s="35"/>
      <c r="C224" s="36" t="s">
        <v>245</v>
      </c>
      <c r="D224" s="37"/>
      <c r="E224" s="38" t="s">
        <v>246</v>
      </c>
      <c r="F224" s="39"/>
      <c r="G224" s="40" t="s">
        <v>18</v>
      </c>
      <c r="H224" s="52">
        <v>61.6</v>
      </c>
      <c r="I224" s="208"/>
      <c r="J224"/>
      <c r="K224"/>
      <c r="L224"/>
      <c r="Q224"/>
      <c r="U224" s="222"/>
    </row>
    <row r="225" spans="1:21" s="98" customFormat="1" ht="25.5">
      <c r="A225" s="95"/>
      <c r="B225" s="35"/>
      <c r="C225" s="93"/>
      <c r="D225" s="67" t="s">
        <v>247</v>
      </c>
      <c r="E225" s="71" t="s">
        <v>248</v>
      </c>
      <c r="F225" s="61"/>
      <c r="G225" s="62" t="s">
        <v>18</v>
      </c>
      <c r="H225" s="99">
        <v>61.6</v>
      </c>
      <c r="I225" s="208"/>
      <c r="J225"/>
      <c r="K225"/>
      <c r="L225"/>
      <c r="Q225"/>
      <c r="U225" s="222"/>
    </row>
    <row r="226" spans="1:21" s="98" customFormat="1">
      <c r="A226" s="95"/>
      <c r="B226" s="35"/>
      <c r="C226" s="93"/>
      <c r="D226" s="67"/>
      <c r="E226" s="84" t="s">
        <v>608</v>
      </c>
      <c r="F226" s="61"/>
      <c r="G226" s="62"/>
      <c r="H226" s="42"/>
      <c r="I226" s="208"/>
      <c r="J226"/>
      <c r="K226"/>
      <c r="L226"/>
      <c r="Q226"/>
      <c r="U226" s="222"/>
    </row>
    <row r="227" spans="1:21" s="98" customFormat="1" ht="25.5">
      <c r="A227" s="95"/>
      <c r="B227" s="35"/>
      <c r="C227" s="93"/>
      <c r="D227" s="94"/>
      <c r="E227" s="65" t="s">
        <v>1552</v>
      </c>
      <c r="F227" s="212">
        <f>0.4*154</f>
        <v>61.6</v>
      </c>
      <c r="G227" s="101"/>
      <c r="H227" s="42"/>
      <c r="I227" s="208"/>
      <c r="J227"/>
      <c r="K227"/>
      <c r="L227"/>
      <c r="Q227"/>
      <c r="U227" s="222"/>
    </row>
    <row r="228" spans="1:21" s="98" customFormat="1">
      <c r="A228" s="95"/>
      <c r="B228" s="35"/>
      <c r="C228" s="93"/>
      <c r="D228" s="94"/>
      <c r="E228" s="65"/>
      <c r="F228" s="212"/>
      <c r="G228" s="101"/>
      <c r="H228" s="42"/>
      <c r="I228" s="208"/>
      <c r="J228"/>
      <c r="K228"/>
      <c r="L228"/>
      <c r="Q228"/>
      <c r="U228" s="222"/>
    </row>
    <row r="229" spans="1:21" ht="25.5">
      <c r="A229" s="34">
        <f>MAX(A$1:A228)+1</f>
        <v>32</v>
      </c>
      <c r="B229" s="43"/>
      <c r="C229" s="36" t="s">
        <v>249</v>
      </c>
      <c r="D229" s="37"/>
      <c r="E229" s="38" t="s">
        <v>250</v>
      </c>
      <c r="F229" s="39"/>
      <c r="G229" s="40" t="s">
        <v>21</v>
      </c>
      <c r="H229" s="64">
        <v>3321</v>
      </c>
    </row>
    <row r="230" spans="1:21" s="111" customFormat="1" ht="25.5">
      <c r="A230" s="179"/>
      <c r="B230" s="256"/>
      <c r="C230" s="66"/>
      <c r="D230" s="67" t="s">
        <v>251</v>
      </c>
      <c r="E230" s="71" t="s">
        <v>252</v>
      </c>
      <c r="F230" s="61"/>
      <c r="G230" s="62" t="s">
        <v>21</v>
      </c>
      <c r="H230" s="83">
        <v>3321</v>
      </c>
      <c r="I230" s="6"/>
      <c r="Q230"/>
      <c r="U230" s="6"/>
    </row>
    <row r="231" spans="1:21" s="111" customFormat="1">
      <c r="A231" s="179"/>
      <c r="B231" s="256"/>
      <c r="C231" s="79"/>
      <c r="D231" s="67"/>
      <c r="E231" s="77" t="s">
        <v>878</v>
      </c>
      <c r="F231" s="231">
        <v>93</v>
      </c>
      <c r="G231" s="62"/>
      <c r="H231" s="246"/>
      <c r="I231" s="6"/>
      <c r="Q231"/>
      <c r="U231" s="6"/>
    </row>
    <row r="232" spans="1:21" s="111" customFormat="1">
      <c r="A232" s="179"/>
      <c r="B232" s="256"/>
      <c r="C232" s="79"/>
      <c r="D232" s="67"/>
      <c r="E232" s="77" t="s">
        <v>978</v>
      </c>
      <c r="F232" s="133">
        <v>3228</v>
      </c>
      <c r="G232" s="62"/>
      <c r="H232" s="246"/>
      <c r="I232" s="6"/>
      <c r="Q232"/>
      <c r="U232" s="6"/>
    </row>
    <row r="233" spans="1:21" s="111" customFormat="1">
      <c r="A233" s="179"/>
      <c r="B233" s="256"/>
      <c r="C233" s="79"/>
      <c r="D233" s="67"/>
      <c r="E233" s="77"/>
      <c r="F233" s="81">
        <f>SUM(F231:F232)</f>
        <v>3321</v>
      </c>
      <c r="G233" s="62"/>
      <c r="H233" s="246"/>
      <c r="I233" s="6"/>
      <c r="Q233"/>
      <c r="U233" s="6"/>
    </row>
    <row r="234" spans="1:21" s="111" customFormat="1">
      <c r="A234" s="179"/>
      <c r="B234" s="256"/>
      <c r="C234" s="79"/>
      <c r="D234" s="67"/>
      <c r="E234" s="77"/>
      <c r="F234" s="257"/>
      <c r="G234" s="62"/>
      <c r="H234" s="246"/>
      <c r="I234" s="6"/>
      <c r="Q234"/>
      <c r="U234" s="6"/>
    </row>
    <row r="235" spans="1:21" s="111" customFormat="1">
      <c r="A235" s="179"/>
      <c r="B235" s="35" t="s">
        <v>56</v>
      </c>
      <c r="C235" s="93"/>
      <c r="D235" s="94"/>
      <c r="E235" s="96" t="s">
        <v>57</v>
      </c>
      <c r="F235" s="81"/>
      <c r="G235" s="62"/>
      <c r="H235" s="246"/>
      <c r="I235" s="6"/>
      <c r="Q235"/>
      <c r="U235" s="6"/>
    </row>
    <row r="236" spans="1:21" s="111" customFormat="1">
      <c r="A236" s="179"/>
      <c r="B236" s="35"/>
      <c r="C236" s="93"/>
      <c r="D236" s="94"/>
      <c r="E236" s="50"/>
      <c r="F236" s="81"/>
      <c r="G236" s="62"/>
      <c r="H236" s="246"/>
      <c r="I236" s="6"/>
      <c r="Q236"/>
      <c r="U236" s="6"/>
    </row>
    <row r="237" spans="1:21" s="111" customFormat="1">
      <c r="A237" s="34">
        <f>MAX(A$1:A236)+1</f>
        <v>33</v>
      </c>
      <c r="B237" s="256"/>
      <c r="C237" s="36" t="s">
        <v>58</v>
      </c>
      <c r="D237" s="37"/>
      <c r="E237" s="38" t="s">
        <v>59</v>
      </c>
      <c r="F237" s="39"/>
      <c r="G237" s="40" t="s">
        <v>18</v>
      </c>
      <c r="H237" s="64">
        <v>196.07</v>
      </c>
      <c r="I237" s="6"/>
      <c r="Q237"/>
      <c r="U237" s="6"/>
    </row>
    <row r="238" spans="1:21" s="111" customFormat="1">
      <c r="A238" s="179"/>
      <c r="B238" s="256"/>
      <c r="C238" s="66"/>
      <c r="D238" s="67" t="s">
        <v>60</v>
      </c>
      <c r="E238" s="71" t="s">
        <v>61</v>
      </c>
      <c r="F238" s="61"/>
      <c r="G238" s="62" t="s">
        <v>18</v>
      </c>
      <c r="H238" s="83">
        <v>196.07</v>
      </c>
      <c r="I238" s="6"/>
      <c r="Q238"/>
      <c r="U238" s="6"/>
    </row>
    <row r="239" spans="1:21" s="111" customFormat="1">
      <c r="A239" s="179"/>
      <c r="B239" s="256"/>
      <c r="C239" s="66"/>
      <c r="D239" s="67"/>
      <c r="E239" s="65" t="s">
        <v>166</v>
      </c>
      <c r="F239" s="46">
        <f>F212</f>
        <v>68.849999999999994</v>
      </c>
      <c r="G239" s="62"/>
      <c r="H239" s="83"/>
      <c r="I239" s="6"/>
      <c r="Q239"/>
      <c r="U239" s="6"/>
    </row>
    <row r="240" spans="1:21" s="111" customFormat="1">
      <c r="A240" s="179"/>
      <c r="B240" s="256"/>
      <c r="C240" s="66"/>
      <c r="D240" s="67"/>
      <c r="E240" s="65"/>
      <c r="F240" s="46"/>
      <c r="G240" s="62"/>
      <c r="H240" s="83"/>
      <c r="I240" s="6"/>
      <c r="Q240"/>
      <c r="U240" s="6"/>
    </row>
    <row r="241" spans="1:21" s="111" customFormat="1">
      <c r="A241" s="179"/>
      <c r="B241" s="256"/>
      <c r="C241" s="66"/>
      <c r="D241" s="67"/>
      <c r="E241" s="65" t="s">
        <v>1228</v>
      </c>
      <c r="F241" s="46">
        <f>F255</f>
        <v>127.22380000000001</v>
      </c>
      <c r="G241" s="62"/>
      <c r="H241" s="83"/>
      <c r="I241" s="6"/>
      <c r="Q241"/>
      <c r="U241" s="6"/>
    </row>
    <row r="242" spans="1:21" s="111" customFormat="1">
      <c r="A242" s="179"/>
      <c r="B242" s="256"/>
      <c r="C242" s="66"/>
      <c r="D242" s="67"/>
      <c r="E242" s="91" t="s">
        <v>41</v>
      </c>
      <c r="F242" s="123">
        <f>F239+F241</f>
        <v>196.07380000000001</v>
      </c>
      <c r="G242" s="62"/>
      <c r="H242" s="83"/>
      <c r="I242" s="6"/>
      <c r="Q242"/>
      <c r="U242" s="6"/>
    </row>
    <row r="243" spans="1:21" s="111" customFormat="1">
      <c r="A243" s="179"/>
      <c r="B243" s="256"/>
      <c r="C243" s="66"/>
      <c r="D243" s="67"/>
      <c r="E243" s="71"/>
      <c r="F243" s="61"/>
      <c r="G243" s="62"/>
      <c r="H243" s="83"/>
      <c r="I243" s="6"/>
      <c r="Q243"/>
      <c r="U243" s="6"/>
    </row>
    <row r="244" spans="1:21" s="111" customFormat="1">
      <c r="A244" s="34">
        <f>MAX(A$1:A243)+1</f>
        <v>34</v>
      </c>
      <c r="B244" s="256"/>
      <c r="C244" s="36" t="s">
        <v>62</v>
      </c>
      <c r="D244" s="37"/>
      <c r="E244" s="38" t="s">
        <v>63</v>
      </c>
      <c r="F244" s="39"/>
      <c r="G244" s="40" t="s">
        <v>18</v>
      </c>
      <c r="H244" s="64">
        <v>68.849999999999994</v>
      </c>
      <c r="I244" s="6"/>
      <c r="Q244"/>
      <c r="U244" s="6"/>
    </row>
    <row r="245" spans="1:21" s="111" customFormat="1" ht="25.5">
      <c r="A245" s="179"/>
      <c r="B245" s="256"/>
      <c r="C245" s="66"/>
      <c r="D245" s="67" t="s">
        <v>64</v>
      </c>
      <c r="E245" s="71" t="s">
        <v>65</v>
      </c>
      <c r="F245" s="61"/>
      <c r="G245" s="62" t="s">
        <v>18</v>
      </c>
      <c r="H245" s="83">
        <v>68.849999999999994</v>
      </c>
      <c r="I245" s="6"/>
      <c r="Q245"/>
      <c r="U245" s="6"/>
    </row>
    <row r="246" spans="1:21" s="111" customFormat="1">
      <c r="A246" s="179"/>
      <c r="B246" s="256"/>
      <c r="C246" s="66"/>
      <c r="D246" s="67"/>
      <c r="E246" s="65" t="s">
        <v>290</v>
      </c>
      <c r="F246" s="46">
        <f>F239</f>
        <v>68.849999999999994</v>
      </c>
      <c r="G246" s="62"/>
      <c r="H246" s="246"/>
      <c r="I246" s="6"/>
      <c r="Q246"/>
      <c r="U246" s="6"/>
    </row>
    <row r="247" spans="1:21" s="111" customFormat="1">
      <c r="A247" s="179"/>
      <c r="B247" s="256"/>
      <c r="C247" s="66"/>
      <c r="D247" s="67"/>
      <c r="E247" s="65"/>
      <c r="F247" s="46"/>
      <c r="G247" s="62"/>
      <c r="H247" s="246"/>
      <c r="I247" s="6"/>
      <c r="Q247"/>
      <c r="U247" s="6"/>
    </row>
    <row r="248" spans="1:21" s="111" customFormat="1">
      <c r="A248" s="34">
        <f>MAX(A$1:A247)+1</f>
        <v>35</v>
      </c>
      <c r="B248" s="256"/>
      <c r="C248" s="36" t="s">
        <v>50</v>
      </c>
      <c r="D248" s="37"/>
      <c r="E248" s="38" t="s">
        <v>51</v>
      </c>
      <c r="F248" s="39"/>
      <c r="G248" s="40" t="s">
        <v>18</v>
      </c>
      <c r="H248" s="64">
        <v>127.22</v>
      </c>
      <c r="I248" s="6"/>
      <c r="Q248"/>
      <c r="U248" s="6"/>
    </row>
    <row r="249" spans="1:21" s="111" customFormat="1" ht="25.5">
      <c r="A249" s="179"/>
      <c r="B249" s="256"/>
      <c r="C249" s="66"/>
      <c r="D249" s="67" t="s">
        <v>138</v>
      </c>
      <c r="E249" s="71" t="s">
        <v>139</v>
      </c>
      <c r="F249" s="61"/>
      <c r="G249" s="62" t="s">
        <v>18</v>
      </c>
      <c r="H249" s="83">
        <v>127.22</v>
      </c>
      <c r="I249" s="6"/>
      <c r="Q249"/>
      <c r="U249" s="6"/>
    </row>
    <row r="250" spans="1:21" s="111" customFormat="1">
      <c r="A250" s="179"/>
      <c r="B250" s="256"/>
      <c r="C250" s="66"/>
      <c r="D250" s="67"/>
      <c r="E250" s="65" t="s">
        <v>1230</v>
      </c>
      <c r="F250" s="46"/>
      <c r="G250" s="62"/>
      <c r="H250" s="246"/>
      <c r="I250" s="6"/>
      <c r="Q250"/>
      <c r="U250" s="6"/>
    </row>
    <row r="251" spans="1:21" s="111" customFormat="1">
      <c r="A251" s="179"/>
      <c r="B251" s="256"/>
      <c r="C251" s="66"/>
      <c r="D251" s="67"/>
      <c r="E251" s="65" t="s">
        <v>1231</v>
      </c>
      <c r="F251" s="46">
        <f>F216</f>
        <v>37.6</v>
      </c>
      <c r="G251" s="62"/>
      <c r="H251" s="246"/>
      <c r="I251" s="6"/>
      <c r="Q251"/>
      <c r="U251" s="6"/>
    </row>
    <row r="252" spans="1:21" s="111" customFormat="1" ht="25.5">
      <c r="A252" s="179"/>
      <c r="B252" s="256"/>
      <c r="C252" s="66"/>
      <c r="D252" s="67"/>
      <c r="E252" s="65" t="s">
        <v>1550</v>
      </c>
      <c r="F252" s="46">
        <f>F227</f>
        <v>61.6</v>
      </c>
      <c r="G252" s="62"/>
      <c r="H252" s="246"/>
      <c r="I252" s="6"/>
      <c r="Q252"/>
      <c r="U252" s="6"/>
    </row>
    <row r="253" spans="1:21" s="111" customFormat="1">
      <c r="A253" s="179"/>
      <c r="B253" s="256"/>
      <c r="C253" s="66"/>
      <c r="D253" s="67"/>
      <c r="E253" s="65" t="s">
        <v>1553</v>
      </c>
      <c r="F253" s="46">
        <f>F222</f>
        <v>10.219999999999999</v>
      </c>
      <c r="G253" s="62"/>
      <c r="H253" s="246"/>
      <c r="I253" s="6"/>
      <c r="Q253"/>
      <c r="U253" s="6"/>
    </row>
    <row r="254" spans="1:21" s="111" customFormat="1">
      <c r="A254" s="179"/>
      <c r="B254" s="256"/>
      <c r="C254" s="66"/>
      <c r="D254" s="67"/>
      <c r="E254" s="65" t="s">
        <v>808</v>
      </c>
      <c r="F254" s="69">
        <f>3.14*0.45*0.45*F405</f>
        <v>17.803800000000003</v>
      </c>
      <c r="G254" s="62"/>
      <c r="H254" s="246"/>
      <c r="I254" s="6"/>
      <c r="Q254"/>
      <c r="U254" s="6"/>
    </row>
    <row r="255" spans="1:21" s="111" customFormat="1">
      <c r="A255" s="179"/>
      <c r="B255" s="256"/>
      <c r="C255" s="66"/>
      <c r="D255" s="67"/>
      <c r="E255" s="65"/>
      <c r="F255" s="46">
        <f>SUM(F251:F254)</f>
        <v>127.22380000000001</v>
      </c>
      <c r="G255" s="62"/>
      <c r="H255" s="246"/>
      <c r="I255" s="6"/>
      <c r="Q255"/>
      <c r="U255" s="6"/>
    </row>
    <row r="256" spans="1:21" s="111" customFormat="1">
      <c r="A256" s="179"/>
      <c r="B256" s="256"/>
      <c r="C256" s="66"/>
      <c r="D256" s="67"/>
      <c r="E256" s="71"/>
      <c r="F256" s="61"/>
      <c r="G256" s="62"/>
      <c r="H256" s="246"/>
      <c r="I256" s="6"/>
      <c r="Q256"/>
      <c r="U256" s="6"/>
    </row>
    <row r="257" spans="1:21" s="111" customFormat="1">
      <c r="A257" s="34">
        <f>MAX(A$1:A256)+1</f>
        <v>36</v>
      </c>
      <c r="B257" s="43"/>
      <c r="C257" s="36" t="s">
        <v>291</v>
      </c>
      <c r="D257" s="37"/>
      <c r="E257" s="38" t="s">
        <v>292</v>
      </c>
      <c r="F257" s="39"/>
      <c r="G257" s="40" t="s">
        <v>18</v>
      </c>
      <c r="H257" s="64">
        <v>68.849999999999994</v>
      </c>
      <c r="I257" s="6"/>
      <c r="Q257"/>
      <c r="U257" s="6"/>
    </row>
    <row r="258" spans="1:21" s="111" customFormat="1" ht="25.5">
      <c r="A258" s="72"/>
      <c r="B258" s="73"/>
      <c r="C258" s="66"/>
      <c r="D258" s="67" t="s">
        <v>293</v>
      </c>
      <c r="E258" s="71" t="s">
        <v>294</v>
      </c>
      <c r="F258" s="61"/>
      <c r="G258" s="62" t="s">
        <v>18</v>
      </c>
      <c r="H258" s="83">
        <v>68.849999999999994</v>
      </c>
      <c r="I258" s="6"/>
      <c r="Q258"/>
      <c r="U258" s="6"/>
    </row>
    <row r="259" spans="1:21" s="111" customFormat="1">
      <c r="A259" s="95"/>
      <c r="B259" s="35"/>
      <c r="C259" s="93"/>
      <c r="D259" s="94"/>
      <c r="E259" s="168" t="s">
        <v>295</v>
      </c>
      <c r="F259" s="104">
        <f>F212</f>
        <v>68.849999999999994</v>
      </c>
      <c r="G259" s="97"/>
      <c r="H259" s="246"/>
      <c r="I259" s="6"/>
      <c r="Q259"/>
      <c r="U259" s="6"/>
    </row>
    <row r="260" spans="1:21" s="111" customFormat="1">
      <c r="A260" s="179"/>
      <c r="B260" s="256"/>
      <c r="C260" s="66"/>
      <c r="D260" s="67"/>
      <c r="E260" s="71"/>
      <c r="F260" s="61"/>
      <c r="G260" s="62"/>
      <c r="H260" s="246"/>
      <c r="I260" s="6"/>
      <c r="Q260"/>
      <c r="U260" s="6"/>
    </row>
    <row r="261" spans="1:21" s="111" customFormat="1">
      <c r="A261" s="34">
        <f>MAX(A$1:A260)+1</f>
        <v>37</v>
      </c>
      <c r="B261" s="256"/>
      <c r="C261" s="36" t="s">
        <v>83</v>
      </c>
      <c r="D261" s="37"/>
      <c r="E261" s="38" t="s">
        <v>84</v>
      </c>
      <c r="F261" s="39"/>
      <c r="G261" s="40" t="s">
        <v>18</v>
      </c>
      <c r="H261" s="64">
        <v>68.849999999999994</v>
      </c>
      <c r="I261" s="6"/>
      <c r="Q261"/>
      <c r="U261" s="6"/>
    </row>
    <row r="262" spans="1:21" s="111" customFormat="1" ht="25.5">
      <c r="A262" s="179"/>
      <c r="B262" s="256"/>
      <c r="C262" s="66"/>
      <c r="D262" s="67" t="s">
        <v>85</v>
      </c>
      <c r="E262" s="71" t="s">
        <v>86</v>
      </c>
      <c r="F262" s="61"/>
      <c r="G262" s="62" t="s">
        <v>18</v>
      </c>
      <c r="H262" s="83">
        <v>68.849999999999994</v>
      </c>
      <c r="I262" s="6"/>
      <c r="Q262"/>
      <c r="U262" s="6"/>
    </row>
    <row r="263" spans="1:21" s="111" customFormat="1">
      <c r="A263" s="179"/>
      <c r="B263" s="256"/>
      <c r="C263" s="66"/>
      <c r="D263" s="67"/>
      <c r="E263" s="168" t="s">
        <v>184</v>
      </c>
      <c r="F263" s="90">
        <f>F239</f>
        <v>68.849999999999994</v>
      </c>
      <c r="G263" s="62"/>
      <c r="H263" s="246"/>
      <c r="I263" s="6"/>
      <c r="Q263"/>
      <c r="U263" s="6"/>
    </row>
    <row r="264" spans="1:21" s="111" customFormat="1">
      <c r="A264" s="179"/>
      <c r="B264" s="256"/>
      <c r="C264" s="66"/>
      <c r="D264" s="67"/>
      <c r="E264" s="168"/>
      <c r="F264" s="90"/>
      <c r="G264" s="62"/>
      <c r="H264" s="246"/>
      <c r="I264" s="6"/>
      <c r="Q264"/>
      <c r="U264" s="6"/>
    </row>
    <row r="265" spans="1:21" s="111" customFormat="1" ht="25.5">
      <c r="A265" s="179"/>
      <c r="B265" s="35" t="s">
        <v>324</v>
      </c>
      <c r="C265" s="35"/>
      <c r="D265" s="94"/>
      <c r="E265" s="50" t="s">
        <v>325</v>
      </c>
      <c r="F265" s="90"/>
      <c r="G265" s="62"/>
      <c r="H265" s="246"/>
      <c r="I265" s="6"/>
      <c r="Q265"/>
      <c r="U265" s="6"/>
    </row>
    <row r="266" spans="1:21" s="111" customFormat="1">
      <c r="A266" s="179"/>
      <c r="B266" s="270"/>
      <c r="C266" s="35"/>
      <c r="D266" s="94"/>
      <c r="E266" s="50"/>
      <c r="F266" s="90"/>
      <c r="G266" s="62"/>
      <c r="H266" s="246"/>
      <c r="I266" s="6"/>
      <c r="Q266"/>
      <c r="U266" s="6"/>
    </row>
    <row r="267" spans="1:21" s="111" customFormat="1" ht="25.5">
      <c r="A267" s="34">
        <f>MAX(A$1:A265)+1</f>
        <v>38</v>
      </c>
      <c r="B267" s="256"/>
      <c r="C267" s="36" t="s">
        <v>326</v>
      </c>
      <c r="D267" s="37"/>
      <c r="E267" s="38" t="s">
        <v>327</v>
      </c>
      <c r="F267" s="39"/>
      <c r="G267" s="40" t="s">
        <v>21</v>
      </c>
      <c r="H267" s="128">
        <v>142.18</v>
      </c>
      <c r="I267" s="6"/>
      <c r="Q267"/>
      <c r="U267" s="6"/>
    </row>
    <row r="268" spans="1:21" s="111" customFormat="1" ht="25.5">
      <c r="A268" s="179"/>
      <c r="B268" s="256"/>
      <c r="C268" s="66"/>
      <c r="D268" s="67" t="s">
        <v>328</v>
      </c>
      <c r="E268" s="71" t="s">
        <v>329</v>
      </c>
      <c r="F268" s="61"/>
      <c r="G268" s="62" t="s">
        <v>21</v>
      </c>
      <c r="H268" s="124">
        <v>135.93</v>
      </c>
      <c r="I268" s="6"/>
      <c r="Q268"/>
      <c r="U268" s="6"/>
    </row>
    <row r="269" spans="1:21" s="111" customFormat="1" ht="25.5">
      <c r="A269" s="179"/>
      <c r="B269" s="256"/>
      <c r="C269" s="66"/>
      <c r="D269" s="67"/>
      <c r="E269" s="65" t="s">
        <v>1554</v>
      </c>
      <c r="F269" s="46">
        <f>0.12*15</f>
        <v>1.7999999999999998</v>
      </c>
      <c r="G269" s="62"/>
      <c r="H269" s="124"/>
      <c r="I269" s="6"/>
      <c r="Q269"/>
      <c r="U269" s="6"/>
    </row>
    <row r="270" spans="1:21" s="111" customFormat="1" ht="25.5">
      <c r="A270" s="179"/>
      <c r="B270" s="256"/>
      <c r="C270" s="66"/>
      <c r="D270" s="67"/>
      <c r="E270" s="65" t="s">
        <v>1555</v>
      </c>
      <c r="F270" s="46">
        <f>0.25*510</f>
        <v>127.5</v>
      </c>
      <c r="G270" s="62"/>
      <c r="H270" s="124"/>
      <c r="I270" s="6"/>
      <c r="Q270"/>
      <c r="U270" s="6"/>
    </row>
    <row r="271" spans="1:21" s="111" customFormat="1" ht="25.5">
      <c r="A271" s="179"/>
      <c r="B271" s="256"/>
      <c r="C271" s="66"/>
      <c r="D271" s="67"/>
      <c r="E271" s="65" t="s">
        <v>1556</v>
      </c>
      <c r="F271" s="69">
        <f>0.25*53/2</f>
        <v>6.625</v>
      </c>
      <c r="G271" s="62"/>
      <c r="H271" s="124"/>
      <c r="I271" s="6"/>
      <c r="Q271"/>
      <c r="U271" s="6"/>
    </row>
    <row r="272" spans="1:21" s="111" customFormat="1">
      <c r="A272" s="179"/>
      <c r="B272" s="256"/>
      <c r="C272" s="66"/>
      <c r="D272" s="67"/>
      <c r="E272" s="65"/>
      <c r="F272" s="46">
        <f>SUM(F269:F271)</f>
        <v>135.92500000000001</v>
      </c>
      <c r="G272" s="62"/>
      <c r="H272" s="124"/>
      <c r="I272" s="6"/>
      <c r="Q272"/>
      <c r="U272" s="6"/>
    </row>
    <row r="273" spans="1:21" s="111" customFormat="1" ht="25.5">
      <c r="A273" s="179"/>
      <c r="B273" s="256"/>
      <c r="C273" s="66"/>
      <c r="D273" s="67" t="s">
        <v>330</v>
      </c>
      <c r="E273" s="71" t="s">
        <v>331</v>
      </c>
      <c r="F273" s="61"/>
      <c r="G273" s="62" t="s">
        <v>21</v>
      </c>
      <c r="H273" s="124">
        <v>6.25</v>
      </c>
      <c r="I273" s="6"/>
      <c r="Q273"/>
      <c r="U273" s="6"/>
    </row>
    <row r="274" spans="1:21" s="111" customFormat="1" ht="25.5">
      <c r="A274" s="179"/>
      <c r="B274" s="256"/>
      <c r="C274" s="66"/>
      <c r="D274" s="67"/>
      <c r="E274" s="65" t="s">
        <v>1557</v>
      </c>
      <c r="F274" s="46">
        <f>0.25*50/2</f>
        <v>6.25</v>
      </c>
      <c r="G274" s="62"/>
      <c r="H274" s="124"/>
      <c r="I274" s="6"/>
      <c r="Q274"/>
      <c r="U274" s="6"/>
    </row>
    <row r="275" spans="1:21" s="111" customFormat="1">
      <c r="A275" s="179"/>
      <c r="B275" s="256"/>
      <c r="C275" s="66"/>
      <c r="D275" s="67"/>
      <c r="E275" s="65"/>
      <c r="F275" s="46"/>
      <c r="G275" s="62"/>
      <c r="H275" s="124"/>
      <c r="I275" s="6"/>
      <c r="Q275"/>
      <c r="U275" s="6"/>
    </row>
    <row r="276" spans="1:21" s="111" customFormat="1">
      <c r="A276" s="179"/>
      <c r="B276" s="256"/>
      <c r="C276" s="66"/>
      <c r="D276" s="67"/>
      <c r="E276" s="84" t="s">
        <v>999</v>
      </c>
      <c r="F276" s="46"/>
      <c r="G276" s="62"/>
      <c r="H276" s="124"/>
      <c r="I276" s="6"/>
      <c r="Q276"/>
      <c r="U276" s="6"/>
    </row>
    <row r="277" spans="1:21" s="111" customFormat="1">
      <c r="A277" s="179"/>
      <c r="B277" s="256"/>
      <c r="C277" s="66"/>
      <c r="D277" s="67"/>
      <c r="E277" s="65" t="s">
        <v>1000</v>
      </c>
      <c r="F277" s="46"/>
      <c r="G277" s="62"/>
      <c r="H277" s="124"/>
      <c r="I277" s="6"/>
      <c r="Q277"/>
      <c r="U277" s="6"/>
    </row>
    <row r="278" spans="1:21" s="111" customFormat="1" ht="63.75">
      <c r="A278" s="179"/>
      <c r="B278" s="256"/>
      <c r="C278" s="66"/>
      <c r="D278" s="67"/>
      <c r="E278" s="65" t="s">
        <v>1001</v>
      </c>
      <c r="F278" s="46"/>
      <c r="G278" s="62"/>
      <c r="H278" s="124"/>
      <c r="I278" s="6"/>
      <c r="Q278"/>
      <c r="U278" s="6"/>
    </row>
    <row r="279" spans="1:21" s="111" customFormat="1" ht="38.25">
      <c r="A279" s="179"/>
      <c r="B279" s="256"/>
      <c r="C279" s="66"/>
      <c r="D279" s="67"/>
      <c r="E279" s="65" t="s">
        <v>1002</v>
      </c>
      <c r="F279" s="46"/>
      <c r="G279" s="62"/>
      <c r="H279" s="124"/>
      <c r="I279" s="6"/>
      <c r="Q279"/>
      <c r="U279" s="6"/>
    </row>
    <row r="280" spans="1:21" s="111" customFormat="1" ht="25.5">
      <c r="A280" s="179"/>
      <c r="B280" s="256"/>
      <c r="C280" s="66"/>
      <c r="D280" s="67"/>
      <c r="E280" s="65" t="s">
        <v>1003</v>
      </c>
      <c r="F280" s="46"/>
      <c r="G280" s="62"/>
      <c r="H280" s="124"/>
      <c r="I280" s="6"/>
      <c r="Q280"/>
      <c r="U280" s="6"/>
    </row>
    <row r="281" spans="1:21" s="111" customFormat="1">
      <c r="A281" s="179"/>
      <c r="B281" s="256"/>
      <c r="C281" s="66"/>
      <c r="D281" s="67"/>
      <c r="E281" s="65"/>
      <c r="F281" s="46"/>
      <c r="G281" s="62"/>
      <c r="H281" s="124"/>
      <c r="I281" s="6"/>
      <c r="Q281"/>
      <c r="U281" s="6"/>
    </row>
    <row r="282" spans="1:21" s="111" customFormat="1" ht="25.5">
      <c r="A282" s="34">
        <f>MAX(A$1:A274)+1</f>
        <v>39</v>
      </c>
      <c r="B282" s="43"/>
      <c r="C282" s="36" t="s">
        <v>825</v>
      </c>
      <c r="D282" s="37"/>
      <c r="E282" s="38" t="s">
        <v>363</v>
      </c>
      <c r="F282" s="39"/>
      <c r="G282" s="40" t="s">
        <v>21</v>
      </c>
      <c r="H282" s="64">
        <v>117.63</v>
      </c>
      <c r="I282" s="6"/>
      <c r="Q282"/>
      <c r="U282" s="6"/>
    </row>
    <row r="283" spans="1:21" s="111" customFormat="1" ht="25.5">
      <c r="A283" s="55"/>
      <c r="B283" s="45"/>
      <c r="C283" s="82"/>
      <c r="D283" s="67" t="s">
        <v>826</v>
      </c>
      <c r="E283" s="71" t="s">
        <v>364</v>
      </c>
      <c r="F283" s="61"/>
      <c r="G283" s="62" t="s">
        <v>21</v>
      </c>
      <c r="H283" s="63">
        <v>117.63</v>
      </c>
      <c r="I283" s="6"/>
      <c r="Q283"/>
      <c r="U283" s="6"/>
    </row>
    <row r="284" spans="1:21" s="111" customFormat="1">
      <c r="A284" s="55"/>
      <c r="B284" s="45"/>
      <c r="C284" s="82"/>
      <c r="D284" s="85"/>
      <c r="E284" s="86" t="s">
        <v>1558</v>
      </c>
      <c r="F284" s="102">
        <v>117.63</v>
      </c>
      <c r="G284" s="88"/>
      <c r="H284" s="59"/>
      <c r="I284" s="6"/>
      <c r="Q284"/>
      <c r="U284" s="6"/>
    </row>
    <row r="285" spans="1:21" s="111" customFormat="1">
      <c r="A285" s="72"/>
      <c r="B285" s="73"/>
      <c r="C285" s="66"/>
      <c r="D285" s="67"/>
      <c r="E285" s="65"/>
      <c r="F285" s="46"/>
      <c r="G285" s="62"/>
      <c r="H285" s="42"/>
      <c r="I285" s="6"/>
      <c r="Q285"/>
      <c r="U285" s="6"/>
    </row>
    <row r="286" spans="1:21" s="98" customFormat="1" ht="25.5">
      <c r="A286" s="34"/>
      <c r="B286" s="35" t="s">
        <v>261</v>
      </c>
      <c r="C286" s="35"/>
      <c r="D286" s="94"/>
      <c r="E286" s="50" t="s">
        <v>262</v>
      </c>
      <c r="F286" s="100"/>
      <c r="G286" s="97"/>
      <c r="H286" s="42"/>
      <c r="I286" s="208"/>
      <c r="J286"/>
      <c r="K286"/>
      <c r="L286"/>
      <c r="Q286"/>
      <c r="U286" s="222"/>
    </row>
    <row r="287" spans="1:21" s="98" customFormat="1">
      <c r="A287" s="145"/>
      <c r="B287" s="35"/>
      <c r="C287" s="35"/>
      <c r="D287" s="94"/>
      <c r="E287" s="50"/>
      <c r="F287" s="100"/>
      <c r="G287" s="97"/>
      <c r="H287" s="42"/>
      <c r="I287" s="208"/>
      <c r="J287"/>
      <c r="K287"/>
      <c r="L287"/>
      <c r="Q287"/>
      <c r="U287" s="222"/>
    </row>
    <row r="288" spans="1:21" s="98" customFormat="1" ht="25.5">
      <c r="A288" s="34">
        <f>MAX(A$1:A286)+1</f>
        <v>40</v>
      </c>
      <c r="B288" s="35"/>
      <c r="C288" s="36" t="s">
        <v>430</v>
      </c>
      <c r="D288" s="37"/>
      <c r="E288" s="38" t="s">
        <v>431</v>
      </c>
      <c r="F288" s="39"/>
      <c r="G288" s="40" t="s">
        <v>18</v>
      </c>
      <c r="H288" s="128">
        <v>1.1000000000000001</v>
      </c>
      <c r="I288" s="208"/>
      <c r="J288"/>
      <c r="K288"/>
      <c r="L288"/>
      <c r="Q288"/>
      <c r="U288" s="222"/>
    </row>
    <row r="289" spans="1:21" s="98" customFormat="1" ht="38.25">
      <c r="A289" s="145"/>
      <c r="B289" s="35"/>
      <c r="C289" s="35"/>
      <c r="D289" s="67" t="s">
        <v>1077</v>
      </c>
      <c r="E289" s="71" t="s">
        <v>1258</v>
      </c>
      <c r="F289" s="61"/>
      <c r="G289" s="62" t="s">
        <v>18</v>
      </c>
      <c r="H289" s="124">
        <v>1.1000000000000001</v>
      </c>
      <c r="I289" s="208"/>
      <c r="J289"/>
      <c r="K289"/>
      <c r="L289"/>
      <c r="Q289"/>
      <c r="U289" s="222"/>
    </row>
    <row r="290" spans="1:21" s="98" customFormat="1" ht="25.5">
      <c r="A290" s="145"/>
      <c r="B290" s="35"/>
      <c r="C290" s="35"/>
      <c r="D290" s="94"/>
      <c r="E290" s="65" t="s">
        <v>1559</v>
      </c>
      <c r="F290" s="212">
        <f>0.1*11</f>
        <v>1.1000000000000001</v>
      </c>
      <c r="G290" s="97"/>
      <c r="H290" s="42"/>
      <c r="I290" s="208"/>
      <c r="J290"/>
      <c r="K290"/>
      <c r="L290"/>
      <c r="Q290"/>
      <c r="U290" s="222"/>
    </row>
    <row r="291" spans="1:21" s="98" customFormat="1">
      <c r="A291" s="145"/>
      <c r="B291" s="35"/>
      <c r="C291" s="35"/>
      <c r="D291" s="94"/>
      <c r="E291" s="50"/>
      <c r="F291" s="100"/>
      <c r="G291" s="97"/>
      <c r="H291" s="42"/>
      <c r="I291" s="208"/>
      <c r="J291"/>
      <c r="K291"/>
      <c r="L291"/>
      <c r="Q291"/>
      <c r="U291" s="222"/>
    </row>
    <row r="292" spans="1:21" s="98" customFormat="1" ht="25.5">
      <c r="A292" s="34">
        <f>MAX(A$1:A291)+1</f>
        <v>41</v>
      </c>
      <c r="B292" s="35"/>
      <c r="C292" s="36" t="s">
        <v>296</v>
      </c>
      <c r="D292" s="37"/>
      <c r="E292" s="38" t="s">
        <v>297</v>
      </c>
      <c r="F292" s="39"/>
      <c r="G292" s="40" t="s">
        <v>21</v>
      </c>
      <c r="H292" s="128">
        <v>360</v>
      </c>
      <c r="I292" s="208"/>
      <c r="J292"/>
      <c r="K292"/>
      <c r="L292"/>
      <c r="Q292"/>
      <c r="U292" s="222"/>
    </row>
    <row r="293" spans="1:21" s="98" customFormat="1" ht="38.25">
      <c r="A293" s="145"/>
      <c r="B293" s="35"/>
      <c r="C293" s="66"/>
      <c r="D293" s="67" t="s">
        <v>1026</v>
      </c>
      <c r="E293" s="71" t="s">
        <v>1027</v>
      </c>
      <c r="F293" s="61"/>
      <c r="G293" s="62" t="s">
        <v>21</v>
      </c>
      <c r="H293" s="124">
        <v>360</v>
      </c>
      <c r="I293" s="208"/>
      <c r="J293"/>
      <c r="K293"/>
      <c r="L293"/>
      <c r="Q293"/>
      <c r="U293" s="222"/>
    </row>
    <row r="294" spans="1:21" s="98" customFormat="1">
      <c r="A294" s="145"/>
      <c r="B294" s="35"/>
      <c r="C294" s="66"/>
      <c r="D294" s="67"/>
      <c r="E294" s="65" t="s">
        <v>1028</v>
      </c>
      <c r="F294" s="90">
        <v>360</v>
      </c>
      <c r="G294" s="62"/>
      <c r="H294" s="42"/>
      <c r="I294" s="208"/>
      <c r="J294"/>
      <c r="K294"/>
      <c r="L294"/>
      <c r="Q294"/>
      <c r="U294" s="222"/>
    </row>
    <row r="295" spans="1:21" s="98" customFormat="1">
      <c r="A295" s="145"/>
      <c r="B295" s="35"/>
      <c r="C295" s="66"/>
      <c r="D295" s="67"/>
      <c r="E295" s="71"/>
      <c r="F295" s="61"/>
      <c r="G295" s="62"/>
      <c r="H295" s="42"/>
      <c r="I295" s="208"/>
      <c r="J295"/>
      <c r="K295"/>
      <c r="L295"/>
      <c r="Q295"/>
      <c r="U295" s="222"/>
    </row>
    <row r="296" spans="1:21" s="98" customFormat="1" ht="25.5">
      <c r="A296" s="34">
        <f>MAX(A$1:A295)+1</f>
        <v>42</v>
      </c>
      <c r="B296" s="35"/>
      <c r="C296" s="36" t="s">
        <v>298</v>
      </c>
      <c r="D296" s="37"/>
      <c r="E296" s="38" t="s">
        <v>299</v>
      </c>
      <c r="F296" s="39"/>
      <c r="G296" s="40" t="s">
        <v>18</v>
      </c>
      <c r="H296" s="128">
        <v>66.240000000000009</v>
      </c>
      <c r="I296" s="208"/>
      <c r="J296"/>
      <c r="K296"/>
      <c r="L296"/>
      <c r="Q296"/>
      <c r="U296" s="222"/>
    </row>
    <row r="297" spans="1:21" s="98" customFormat="1" ht="25.5">
      <c r="A297" s="145"/>
      <c r="B297" s="35"/>
      <c r="C297" s="36"/>
      <c r="D297" s="67" t="s">
        <v>367</v>
      </c>
      <c r="E297" s="71" t="s">
        <v>368</v>
      </c>
      <c r="F297" s="61"/>
      <c r="G297" s="62" t="s">
        <v>18</v>
      </c>
      <c r="H297" s="124">
        <v>55.2</v>
      </c>
      <c r="I297" s="208"/>
      <c r="J297"/>
      <c r="K297"/>
      <c r="L297"/>
      <c r="Q297"/>
      <c r="U297" s="222"/>
    </row>
    <row r="298" spans="1:21" s="98" customFormat="1" ht="25.5">
      <c r="A298" s="145"/>
      <c r="B298" s="35"/>
      <c r="C298" s="36"/>
      <c r="D298" s="37"/>
      <c r="E298" s="65" t="s">
        <v>1560</v>
      </c>
      <c r="F298" s="46">
        <f>0.04*1380</f>
        <v>55.2</v>
      </c>
      <c r="G298" s="40"/>
      <c r="H298" s="128"/>
      <c r="I298" s="208"/>
      <c r="J298"/>
      <c r="K298"/>
      <c r="L298"/>
      <c r="Q298"/>
      <c r="U298" s="222"/>
    </row>
    <row r="299" spans="1:21" s="98" customFormat="1" ht="25.5">
      <c r="A299" s="145"/>
      <c r="B299" s="35"/>
      <c r="C299" s="66"/>
      <c r="D299" s="67" t="s">
        <v>334</v>
      </c>
      <c r="E299" s="71" t="s">
        <v>335</v>
      </c>
      <c r="F299" s="61"/>
      <c r="G299" s="62" t="s">
        <v>18</v>
      </c>
      <c r="H299" s="124">
        <v>11.04</v>
      </c>
      <c r="I299" s="208"/>
      <c r="J299"/>
      <c r="K299"/>
      <c r="L299"/>
      <c r="Q299"/>
      <c r="U299" s="222"/>
    </row>
    <row r="300" spans="1:21" s="98" customFormat="1" ht="26.25">
      <c r="A300" s="145"/>
      <c r="B300" s="35"/>
      <c r="C300" s="66"/>
      <c r="D300" s="67"/>
      <c r="E300" s="68" t="s">
        <v>1561</v>
      </c>
      <c r="F300" s="46">
        <f>0.06*184</f>
        <v>11.04</v>
      </c>
      <c r="G300" s="62"/>
      <c r="H300" s="42"/>
      <c r="I300" s="208"/>
      <c r="J300"/>
      <c r="K300"/>
      <c r="L300"/>
      <c r="Q300"/>
      <c r="U300" s="222"/>
    </row>
    <row r="301" spans="1:21" s="98" customFormat="1">
      <c r="A301" s="145"/>
      <c r="B301" s="35"/>
      <c r="C301" s="35"/>
      <c r="D301" s="94"/>
      <c r="E301" s="50"/>
      <c r="F301" s="100"/>
      <c r="G301" s="97"/>
      <c r="H301" s="42"/>
      <c r="I301" s="208"/>
      <c r="J301"/>
      <c r="K301"/>
      <c r="L301"/>
      <c r="Q301"/>
      <c r="U301" s="222"/>
    </row>
    <row r="302" spans="1:21" s="98" customFormat="1" ht="25.5">
      <c r="A302" s="34">
        <f>MAX(A$1:A301)+1</f>
        <v>43</v>
      </c>
      <c r="B302" s="35"/>
      <c r="C302" s="36" t="s">
        <v>300</v>
      </c>
      <c r="D302" s="37"/>
      <c r="E302" s="38" t="s">
        <v>301</v>
      </c>
      <c r="F302" s="39"/>
      <c r="G302" s="40" t="s">
        <v>18</v>
      </c>
      <c r="H302" s="64">
        <v>14.4</v>
      </c>
      <c r="I302" s="208"/>
      <c r="J302"/>
      <c r="K302"/>
      <c r="L302"/>
      <c r="Q302"/>
      <c r="U302" s="222"/>
    </row>
    <row r="303" spans="1:21" s="98" customFormat="1" ht="25.5">
      <c r="A303" s="145"/>
      <c r="B303" s="35"/>
      <c r="C303" s="66"/>
      <c r="D303" s="67" t="s">
        <v>302</v>
      </c>
      <c r="E303" s="71" t="s">
        <v>303</v>
      </c>
      <c r="F303" s="61"/>
      <c r="G303" s="62" t="s">
        <v>18</v>
      </c>
      <c r="H303" s="83">
        <v>14.4</v>
      </c>
      <c r="I303" s="208"/>
      <c r="J303"/>
      <c r="K303"/>
      <c r="L303"/>
      <c r="Q303"/>
      <c r="U303" s="222"/>
    </row>
    <row r="304" spans="1:21" s="98" customFormat="1" ht="25.5">
      <c r="A304" s="145"/>
      <c r="B304" s="35"/>
      <c r="C304" s="35"/>
      <c r="D304" s="94"/>
      <c r="E304" s="65" t="s">
        <v>1562</v>
      </c>
      <c r="F304" s="212">
        <f>0.04*360</f>
        <v>14.4</v>
      </c>
      <c r="G304" s="97"/>
      <c r="H304" s="42"/>
      <c r="I304" s="208"/>
      <c r="J304"/>
      <c r="K304"/>
      <c r="L304"/>
      <c r="Q304"/>
      <c r="U304" s="222"/>
    </row>
    <row r="305" spans="1:21" s="98" customFormat="1">
      <c r="A305" s="145"/>
      <c r="B305" s="35"/>
      <c r="C305" s="35"/>
      <c r="D305" s="94"/>
      <c r="E305" s="50"/>
      <c r="F305" s="100"/>
      <c r="G305" s="97"/>
      <c r="H305" s="42"/>
      <c r="I305" s="208"/>
      <c r="J305"/>
      <c r="K305"/>
      <c r="L305"/>
      <c r="Q305"/>
      <c r="U305" s="222"/>
    </row>
    <row r="306" spans="1:21" s="98" customFormat="1" ht="25.5">
      <c r="A306" s="34">
        <f>MAX(A$1:A305)+1</f>
        <v>44</v>
      </c>
      <c r="B306" s="35"/>
      <c r="C306" s="36" t="s">
        <v>773</v>
      </c>
      <c r="D306" s="37"/>
      <c r="E306" s="38" t="s">
        <v>774</v>
      </c>
      <c r="F306" s="39"/>
      <c r="G306" s="40" t="s">
        <v>21</v>
      </c>
      <c r="H306" s="52">
        <v>37</v>
      </c>
      <c r="I306" s="221"/>
      <c r="J306"/>
      <c r="K306"/>
      <c r="L306"/>
      <c r="Q306"/>
      <c r="U306" s="222"/>
    </row>
    <row r="307" spans="1:21" s="98" customFormat="1">
      <c r="A307" s="145"/>
      <c r="B307" s="35"/>
      <c r="C307" s="35"/>
      <c r="D307" s="94"/>
      <c r="E307" s="65" t="s">
        <v>1563</v>
      </c>
      <c r="F307" s="212">
        <v>37</v>
      </c>
      <c r="G307" s="97"/>
      <c r="H307" s="42"/>
      <c r="I307" s="693"/>
      <c r="J307"/>
      <c r="K307"/>
      <c r="L307"/>
      <c r="Q307"/>
      <c r="U307" s="222"/>
    </row>
    <row r="308" spans="1:21" s="98" customFormat="1">
      <c r="A308" s="145"/>
      <c r="B308" s="35"/>
      <c r="C308" s="35"/>
      <c r="D308" s="94"/>
      <c r="E308" s="65"/>
      <c r="F308" s="212"/>
      <c r="G308" s="97"/>
      <c r="H308" s="42"/>
      <c r="I308" s="208"/>
      <c r="J308"/>
      <c r="K308"/>
      <c r="L308"/>
      <c r="Q308"/>
      <c r="U308" s="222"/>
    </row>
    <row r="309" spans="1:21" s="98" customFormat="1" ht="25.5">
      <c r="A309" s="34">
        <f>MAX(A$1:A308)+1</f>
        <v>45</v>
      </c>
      <c r="B309" s="35"/>
      <c r="C309" s="36" t="s">
        <v>464</v>
      </c>
      <c r="D309" s="37"/>
      <c r="E309" s="38" t="s">
        <v>465</v>
      </c>
      <c r="F309" s="39"/>
      <c r="G309" s="40" t="s">
        <v>21</v>
      </c>
      <c r="H309" s="128">
        <v>1749</v>
      </c>
      <c r="I309" s="208"/>
      <c r="J309"/>
      <c r="K309"/>
      <c r="L309"/>
      <c r="Q309"/>
      <c r="U309" s="222"/>
    </row>
    <row r="310" spans="1:21" s="98" customFormat="1" ht="25.5">
      <c r="A310" s="145"/>
      <c r="B310" s="35"/>
      <c r="C310" s="66"/>
      <c r="D310" s="67" t="s">
        <v>466</v>
      </c>
      <c r="E310" s="71" t="s">
        <v>467</v>
      </c>
      <c r="F310" s="61"/>
      <c r="G310" s="62" t="s">
        <v>21</v>
      </c>
      <c r="H310" s="124">
        <v>39</v>
      </c>
      <c r="I310" s="208"/>
      <c r="J310"/>
      <c r="K310"/>
      <c r="L310"/>
      <c r="Q310"/>
      <c r="U310" s="222"/>
    </row>
    <row r="311" spans="1:21" s="98" customFormat="1" ht="38.25">
      <c r="A311" s="145"/>
      <c r="B311" s="35"/>
      <c r="C311" s="66"/>
      <c r="D311" s="67"/>
      <c r="E311" s="65" t="s">
        <v>1041</v>
      </c>
      <c r="F311" s="90">
        <v>36</v>
      </c>
      <c r="G311" s="62"/>
      <c r="H311" s="42"/>
      <c r="I311" s="208"/>
      <c r="J311"/>
      <c r="K311"/>
      <c r="L311"/>
      <c r="Q311"/>
      <c r="U311" s="222"/>
    </row>
    <row r="312" spans="1:21" s="98" customFormat="1" ht="38.25">
      <c r="A312" s="145"/>
      <c r="B312" s="35"/>
      <c r="C312" s="66"/>
      <c r="D312" s="67"/>
      <c r="E312" s="65" t="s">
        <v>1042</v>
      </c>
      <c r="F312" s="138">
        <v>3</v>
      </c>
      <c r="G312" s="62"/>
      <c r="H312" s="42"/>
      <c r="I312" s="208"/>
      <c r="J312"/>
      <c r="K312"/>
      <c r="L312"/>
      <c r="Q312"/>
      <c r="U312" s="222"/>
    </row>
    <row r="313" spans="1:21" s="98" customFormat="1">
      <c r="A313" s="145"/>
      <c r="B313" s="35"/>
      <c r="C313" s="66"/>
      <c r="D313" s="67"/>
      <c r="E313" s="71"/>
      <c r="F313" s="90">
        <f>SUM(F311:F312)</f>
        <v>39</v>
      </c>
      <c r="G313" s="62"/>
      <c r="H313" s="42"/>
      <c r="I313" s="208"/>
      <c r="J313"/>
      <c r="K313"/>
      <c r="L313"/>
      <c r="Q313"/>
      <c r="U313" s="222"/>
    </row>
    <row r="314" spans="1:21" s="98" customFormat="1" ht="25.5">
      <c r="A314" s="145"/>
      <c r="B314" s="35"/>
      <c r="C314" s="66"/>
      <c r="D314" s="67" t="s">
        <v>488</v>
      </c>
      <c r="E314" s="71" t="s">
        <v>489</v>
      </c>
      <c r="F314" s="61"/>
      <c r="G314" s="62" t="s">
        <v>21</v>
      </c>
      <c r="H314" s="124">
        <v>1710</v>
      </c>
      <c r="I314" s="208"/>
      <c r="J314"/>
      <c r="K314"/>
      <c r="L314"/>
      <c r="Q314"/>
      <c r="U314" s="222"/>
    </row>
    <row r="315" spans="1:21" s="98" customFormat="1" ht="25.5">
      <c r="A315" s="145"/>
      <c r="B315" s="35"/>
      <c r="C315" s="35"/>
      <c r="D315" s="94"/>
      <c r="E315" s="65" t="s">
        <v>1043</v>
      </c>
      <c r="F315" s="224">
        <v>1710</v>
      </c>
      <c r="G315" s="97"/>
      <c r="H315" s="42"/>
      <c r="I315" s="208"/>
      <c r="J315"/>
      <c r="K315"/>
      <c r="L315"/>
      <c r="Q315"/>
      <c r="U315" s="222"/>
    </row>
    <row r="316" spans="1:21" s="98" customFormat="1">
      <c r="A316" s="145"/>
      <c r="B316" s="35"/>
      <c r="C316" s="35"/>
      <c r="D316" s="94"/>
      <c r="E316" s="65"/>
      <c r="F316" s="224"/>
      <c r="G316" s="97"/>
      <c r="H316" s="42"/>
      <c r="I316" s="208"/>
      <c r="J316"/>
      <c r="K316"/>
      <c r="L316"/>
      <c r="Q316"/>
      <c r="U316" s="222"/>
    </row>
    <row r="317" spans="1:21" s="98" customFormat="1" ht="25.5">
      <c r="A317" s="145"/>
      <c r="B317" s="35"/>
      <c r="C317" s="35"/>
      <c r="D317" s="94"/>
      <c r="E317" s="65" t="s">
        <v>1564</v>
      </c>
      <c r="F317" s="224"/>
      <c r="G317" s="97"/>
      <c r="H317" s="42"/>
      <c r="I317" s="208"/>
      <c r="J317"/>
      <c r="K317"/>
      <c r="L317"/>
      <c r="Q317"/>
      <c r="U317" s="222"/>
    </row>
    <row r="318" spans="1:21" s="98" customFormat="1">
      <c r="A318" s="145"/>
      <c r="B318" s="35"/>
      <c r="C318" s="35"/>
      <c r="D318" s="94"/>
      <c r="E318" s="65"/>
      <c r="F318" s="224"/>
      <c r="G318" s="97"/>
      <c r="H318" s="42"/>
      <c r="I318" s="208"/>
      <c r="J318"/>
      <c r="K318"/>
      <c r="L318"/>
      <c r="Q318"/>
      <c r="U318" s="222"/>
    </row>
    <row r="319" spans="1:21" s="98" customFormat="1" ht="25.5">
      <c r="A319" s="34">
        <f>MAX(A$1:A318)+1</f>
        <v>46</v>
      </c>
      <c r="B319" s="43"/>
      <c r="C319" s="36" t="s">
        <v>263</v>
      </c>
      <c r="D319" s="37"/>
      <c r="E319" s="38" t="s">
        <v>818</v>
      </c>
      <c r="F319" s="39"/>
      <c r="G319" s="40" t="s">
        <v>36</v>
      </c>
      <c r="H319" s="64">
        <v>419</v>
      </c>
      <c r="I319" s="208"/>
      <c r="J319"/>
      <c r="K319"/>
      <c r="L319"/>
      <c r="Q319"/>
      <c r="U319" s="222"/>
    </row>
    <row r="320" spans="1:21" s="98" customFormat="1" ht="26.25">
      <c r="A320" s="283"/>
      <c r="B320" s="35"/>
      <c r="C320" s="35"/>
      <c r="D320" s="94"/>
      <c r="E320" s="68" t="s">
        <v>1044</v>
      </c>
      <c r="F320" s="90">
        <v>213</v>
      </c>
      <c r="G320" s="97"/>
      <c r="H320" s="124"/>
      <c r="I320" s="208"/>
      <c r="J320"/>
      <c r="K320"/>
      <c r="L320"/>
      <c r="Q320"/>
      <c r="U320" s="222"/>
    </row>
    <row r="321" spans="1:21" s="98" customFormat="1" ht="26.25">
      <c r="A321" s="698"/>
      <c r="B321" s="35"/>
      <c r="C321" s="35"/>
      <c r="D321" s="94"/>
      <c r="E321" s="68" t="s">
        <v>1046</v>
      </c>
      <c r="F321" s="90">
        <v>115</v>
      </c>
      <c r="G321" s="97"/>
      <c r="H321" s="124"/>
      <c r="I321" s="208"/>
      <c r="J321"/>
      <c r="K321"/>
      <c r="L321"/>
      <c r="Q321"/>
      <c r="U321" s="222"/>
    </row>
    <row r="322" spans="1:21" s="98" customFormat="1" ht="26.25">
      <c r="A322" s="698"/>
      <c r="B322" s="35"/>
      <c r="C322" s="35"/>
      <c r="D322" s="94"/>
      <c r="E322" s="68" t="s">
        <v>1292</v>
      </c>
      <c r="F322" s="138">
        <v>91</v>
      </c>
      <c r="G322" s="97"/>
      <c r="H322" s="124"/>
      <c r="I322" s="208"/>
      <c r="J322"/>
      <c r="K322"/>
      <c r="L322"/>
      <c r="Q322"/>
      <c r="U322" s="222"/>
    </row>
    <row r="323" spans="1:21" s="98" customFormat="1">
      <c r="A323" s="698"/>
      <c r="B323" s="35"/>
      <c r="C323" s="35"/>
      <c r="D323" s="94"/>
      <c r="E323" s="68"/>
      <c r="F323" s="90">
        <f>SUM(F320:F322)</f>
        <v>419</v>
      </c>
      <c r="G323" s="97"/>
      <c r="H323" s="124"/>
      <c r="I323" s="208"/>
      <c r="J323"/>
      <c r="K323"/>
      <c r="L323"/>
      <c r="Q323"/>
      <c r="U323" s="222"/>
    </row>
    <row r="324" spans="1:21" s="98" customFormat="1">
      <c r="A324" s="698"/>
      <c r="B324" s="35"/>
      <c r="C324" s="35"/>
      <c r="D324" s="94"/>
      <c r="E324" s="68"/>
      <c r="F324" s="90"/>
      <c r="G324" s="97"/>
      <c r="H324" s="124"/>
      <c r="I324" s="208"/>
      <c r="J324"/>
      <c r="K324"/>
      <c r="L324"/>
      <c r="Q324"/>
      <c r="U324" s="222"/>
    </row>
    <row r="325" spans="1:21" s="98" customFormat="1">
      <c r="A325" s="34">
        <f>MAX(A$1:A324)+1</f>
        <v>47</v>
      </c>
      <c r="B325" s="35"/>
      <c r="C325" s="36" t="s">
        <v>369</v>
      </c>
      <c r="D325" s="37"/>
      <c r="E325" s="38" t="s">
        <v>370</v>
      </c>
      <c r="F325" s="39"/>
      <c r="G325" s="40" t="s">
        <v>36</v>
      </c>
      <c r="H325" s="64">
        <v>235</v>
      </c>
      <c r="I325" s="208"/>
      <c r="J325"/>
      <c r="K325"/>
      <c r="L325"/>
      <c r="Q325"/>
      <c r="U325" s="222"/>
    </row>
    <row r="326" spans="1:21" s="98" customFormat="1">
      <c r="A326" s="145"/>
      <c r="B326" s="35"/>
      <c r="C326" s="66"/>
      <c r="D326" s="67" t="s">
        <v>371</v>
      </c>
      <c r="E326" s="71" t="s">
        <v>372</v>
      </c>
      <c r="F326" s="61"/>
      <c r="G326" s="62" t="s">
        <v>36</v>
      </c>
      <c r="H326" s="83">
        <v>235</v>
      </c>
      <c r="I326" s="208"/>
      <c r="J326"/>
      <c r="K326"/>
      <c r="L326"/>
      <c r="Q326"/>
      <c r="U326" s="222"/>
    </row>
    <row r="327" spans="1:21" s="98" customFormat="1" ht="25.5">
      <c r="A327" s="145"/>
      <c r="B327" s="35"/>
      <c r="C327" s="35"/>
      <c r="D327" s="94"/>
      <c r="E327" s="65" t="s">
        <v>1565</v>
      </c>
      <c r="F327" s="224">
        <v>235</v>
      </c>
      <c r="G327" s="97"/>
      <c r="H327" s="42"/>
      <c r="I327" s="208"/>
      <c r="J327"/>
      <c r="K327"/>
      <c r="L327"/>
      <c r="Q327"/>
      <c r="U327" s="222"/>
    </row>
    <row r="328" spans="1:21" s="98" customFormat="1">
      <c r="A328" s="145"/>
      <c r="B328" s="35"/>
      <c r="C328" s="35"/>
      <c r="D328" s="94"/>
      <c r="E328" s="65"/>
      <c r="F328" s="212"/>
      <c r="G328" s="97"/>
      <c r="H328" s="75"/>
      <c r="I328" s="208"/>
      <c r="J328"/>
      <c r="K328"/>
      <c r="L328"/>
      <c r="Q328"/>
      <c r="U328" s="222"/>
    </row>
    <row r="329" spans="1:21" s="98" customFormat="1" ht="25.5">
      <c r="A329" s="34">
        <f>MAX(A$1:A328)+1</f>
        <v>48</v>
      </c>
      <c r="B329" s="35"/>
      <c r="C329" s="36" t="s">
        <v>266</v>
      </c>
      <c r="D329" s="37"/>
      <c r="E329" s="38" t="s">
        <v>267</v>
      </c>
      <c r="F329" s="39"/>
      <c r="G329" s="40" t="s">
        <v>33</v>
      </c>
      <c r="H329" s="64">
        <v>3</v>
      </c>
      <c r="I329" s="208"/>
      <c r="J329"/>
      <c r="K329"/>
      <c r="L329"/>
      <c r="Q329"/>
      <c r="U329" s="222"/>
    </row>
    <row r="330" spans="1:21" s="98" customFormat="1" ht="25.5">
      <c r="A330" s="145"/>
      <c r="B330" s="35"/>
      <c r="C330" s="35"/>
      <c r="D330" s="67" t="s">
        <v>268</v>
      </c>
      <c r="E330" s="71" t="s">
        <v>269</v>
      </c>
      <c r="F330" s="61"/>
      <c r="G330" s="62" t="s">
        <v>33</v>
      </c>
      <c r="H330" s="83">
        <v>3</v>
      </c>
      <c r="I330" s="208"/>
      <c r="J330"/>
      <c r="K330"/>
      <c r="L330"/>
      <c r="Q330"/>
      <c r="U330" s="222"/>
    </row>
    <row r="331" spans="1:21" s="98" customFormat="1">
      <c r="A331" s="145"/>
      <c r="B331" s="35"/>
      <c r="C331" s="35"/>
      <c r="D331" s="94"/>
      <c r="E331" s="84" t="s">
        <v>1049</v>
      </c>
      <c r="F331" s="212"/>
      <c r="G331" s="97"/>
      <c r="H331" s="42"/>
      <c r="I331" s="208"/>
      <c r="J331"/>
      <c r="K331"/>
      <c r="L331"/>
      <c r="Q331"/>
      <c r="U331" s="222"/>
    </row>
    <row r="332" spans="1:21" s="98" customFormat="1" ht="25.5">
      <c r="A332" s="145"/>
      <c r="B332" s="35"/>
      <c r="C332" s="35"/>
      <c r="D332" s="94"/>
      <c r="E332" s="77" t="s">
        <v>1060</v>
      </c>
      <c r="F332" s="212">
        <v>3</v>
      </c>
      <c r="G332" s="97"/>
      <c r="H332" s="42"/>
      <c r="I332" s="208"/>
      <c r="J332"/>
      <c r="K332"/>
      <c r="L332"/>
      <c r="Q332"/>
      <c r="U332" s="222"/>
    </row>
    <row r="333" spans="1:21" s="98" customFormat="1">
      <c r="A333" s="145"/>
      <c r="B333" s="35"/>
      <c r="C333" s="35"/>
      <c r="D333" s="94"/>
      <c r="E333" s="77" t="s">
        <v>1566</v>
      </c>
      <c r="F333" s="212"/>
      <c r="G333" s="97"/>
      <c r="H333" s="42"/>
      <c r="I333" s="208"/>
      <c r="J333"/>
      <c r="K333"/>
      <c r="L333"/>
      <c r="Q333"/>
      <c r="U333" s="222"/>
    </row>
    <row r="334" spans="1:21" s="98" customFormat="1">
      <c r="A334" s="145"/>
      <c r="B334" s="35"/>
      <c r="C334" s="35"/>
      <c r="D334" s="94"/>
      <c r="E334" s="50"/>
      <c r="F334" s="100"/>
      <c r="G334" s="97"/>
      <c r="H334" s="42"/>
      <c r="I334" s="208"/>
      <c r="J334"/>
      <c r="K334"/>
      <c r="L334"/>
      <c r="Q334"/>
      <c r="U334" s="222"/>
    </row>
    <row r="335" spans="1:21" s="98" customFormat="1" ht="25.5">
      <c r="A335" s="34">
        <f>MAX(A$1:A334)+1</f>
        <v>49</v>
      </c>
      <c r="B335" s="35"/>
      <c r="C335" s="36" t="s">
        <v>341</v>
      </c>
      <c r="D335" s="37"/>
      <c r="E335" s="38" t="s">
        <v>342</v>
      </c>
      <c r="F335" s="39"/>
      <c r="G335" s="40" t="s">
        <v>33</v>
      </c>
      <c r="H335" s="64">
        <v>4</v>
      </c>
      <c r="I335" s="208"/>
      <c r="J335"/>
      <c r="K335"/>
      <c r="L335"/>
      <c r="Q335"/>
      <c r="U335" s="222"/>
    </row>
    <row r="336" spans="1:21" s="98" customFormat="1" ht="25.5">
      <c r="A336" s="145"/>
      <c r="B336" s="35"/>
      <c r="C336" s="35"/>
      <c r="D336" s="67" t="s">
        <v>343</v>
      </c>
      <c r="E336" s="71" t="s">
        <v>344</v>
      </c>
      <c r="F336" s="61"/>
      <c r="G336" s="62" t="s">
        <v>33</v>
      </c>
      <c r="H336" s="83">
        <v>4</v>
      </c>
      <c r="I336" s="208"/>
      <c r="J336"/>
      <c r="K336"/>
      <c r="L336"/>
      <c r="Q336"/>
      <c r="U336" s="222"/>
    </row>
    <row r="337" spans="1:21" s="98" customFormat="1">
      <c r="A337" s="145"/>
      <c r="B337" s="35"/>
      <c r="C337" s="35"/>
      <c r="D337" s="94"/>
      <c r="E337" s="84" t="s">
        <v>1049</v>
      </c>
      <c r="F337" s="100"/>
      <c r="G337" s="97"/>
      <c r="H337" s="42"/>
      <c r="I337" s="208"/>
      <c r="J337"/>
      <c r="K337"/>
      <c r="L337"/>
      <c r="Q337"/>
      <c r="U337" s="222"/>
    </row>
    <row r="338" spans="1:21" s="98" customFormat="1" ht="25.5">
      <c r="A338" s="145"/>
      <c r="B338" s="35"/>
      <c r="C338" s="35"/>
      <c r="D338" s="94"/>
      <c r="E338" s="77" t="s">
        <v>1567</v>
      </c>
      <c r="F338" s="212">
        <v>1</v>
      </c>
      <c r="G338" s="97"/>
      <c r="H338" s="42"/>
      <c r="I338" s="696"/>
      <c r="J338"/>
      <c r="K338"/>
      <c r="L338"/>
      <c r="Q338"/>
      <c r="U338" s="222"/>
    </row>
    <row r="339" spans="1:21" s="98" customFormat="1" ht="25.5">
      <c r="A339" s="145"/>
      <c r="B339" s="35"/>
      <c r="C339" s="35"/>
      <c r="D339" s="94"/>
      <c r="E339" s="77" t="s">
        <v>1568</v>
      </c>
      <c r="F339" s="213">
        <v>1</v>
      </c>
      <c r="G339" s="97"/>
      <c r="H339" s="42"/>
      <c r="I339" s="208"/>
      <c r="J339"/>
      <c r="K339"/>
      <c r="L339"/>
      <c r="Q339"/>
      <c r="U339" s="222"/>
    </row>
    <row r="340" spans="1:21" s="98" customFormat="1">
      <c r="A340" s="145"/>
      <c r="B340" s="35"/>
      <c r="C340" s="35"/>
      <c r="D340" s="94"/>
      <c r="E340" s="77"/>
      <c r="F340" s="212">
        <f>SUM(F338:F339)</f>
        <v>2</v>
      </c>
      <c r="G340" s="97"/>
      <c r="H340" s="42"/>
      <c r="I340" s="208"/>
      <c r="J340"/>
      <c r="K340"/>
      <c r="L340"/>
      <c r="Q340"/>
      <c r="U340" s="222"/>
    </row>
    <row r="341" spans="1:21" s="98" customFormat="1">
      <c r="A341" s="145"/>
      <c r="B341" s="35"/>
      <c r="C341" s="35"/>
      <c r="D341" s="94"/>
      <c r="E341" s="77"/>
      <c r="F341" s="212"/>
      <c r="G341" s="97"/>
      <c r="H341" s="42"/>
      <c r="I341" s="208"/>
      <c r="J341"/>
      <c r="K341"/>
      <c r="L341"/>
      <c r="Q341"/>
      <c r="U341" s="222"/>
    </row>
    <row r="342" spans="1:21" s="98" customFormat="1" ht="38.25">
      <c r="A342" s="145"/>
      <c r="B342" s="35"/>
      <c r="C342" s="35"/>
      <c r="D342" s="94"/>
      <c r="E342" s="77" t="s">
        <v>1569</v>
      </c>
      <c r="F342" s="212">
        <v>1</v>
      </c>
      <c r="G342" s="97"/>
      <c r="H342" s="42"/>
      <c r="I342" s="208"/>
      <c r="J342"/>
      <c r="K342"/>
      <c r="L342"/>
      <c r="Q342"/>
      <c r="U342" s="222"/>
    </row>
    <row r="343" spans="1:21" s="98" customFormat="1">
      <c r="A343" s="145"/>
      <c r="B343" s="35"/>
      <c r="C343" s="35"/>
      <c r="D343" s="94"/>
      <c r="E343" s="77" t="s">
        <v>1570</v>
      </c>
      <c r="F343" s="213">
        <v>1</v>
      </c>
      <c r="G343" s="97"/>
      <c r="H343" s="42"/>
      <c r="I343" s="208"/>
      <c r="J343"/>
      <c r="K343"/>
      <c r="L343"/>
      <c r="Q343"/>
      <c r="U343" s="222"/>
    </row>
    <row r="344" spans="1:21" s="98" customFormat="1">
      <c r="A344" s="145"/>
      <c r="B344" s="35"/>
      <c r="C344" s="35"/>
      <c r="D344" s="94"/>
      <c r="E344" s="77"/>
      <c r="F344" s="212">
        <f>SUM(F342:F343)</f>
        <v>2</v>
      </c>
      <c r="G344" s="97"/>
      <c r="H344" s="42"/>
      <c r="I344" s="208"/>
      <c r="J344"/>
      <c r="K344"/>
      <c r="L344"/>
      <c r="Q344"/>
      <c r="U344" s="222"/>
    </row>
    <row r="345" spans="1:21" s="98" customFormat="1">
      <c r="A345" s="145"/>
      <c r="B345" s="35"/>
      <c r="C345" s="35"/>
      <c r="D345" s="94"/>
      <c r="E345" s="77" t="s">
        <v>1571</v>
      </c>
      <c r="F345" s="100"/>
      <c r="G345" s="97"/>
      <c r="H345" s="42"/>
      <c r="I345" s="208"/>
      <c r="J345"/>
      <c r="K345"/>
      <c r="L345"/>
      <c r="Q345"/>
      <c r="U345" s="222"/>
    </row>
    <row r="346" spans="1:21" s="98" customFormat="1">
      <c r="A346" s="145"/>
      <c r="B346" s="35"/>
      <c r="C346" s="35"/>
      <c r="D346" s="94"/>
      <c r="E346" s="91" t="s">
        <v>41</v>
      </c>
      <c r="F346" s="264">
        <f>F340+F344</f>
        <v>4</v>
      </c>
      <c r="G346" s="97"/>
      <c r="H346" s="42"/>
      <c r="I346" s="208"/>
      <c r="J346"/>
      <c r="K346"/>
      <c r="L346"/>
      <c r="Q346"/>
      <c r="U346" s="222"/>
    </row>
    <row r="347" spans="1:21" s="98" customFormat="1">
      <c r="A347" s="145"/>
      <c r="B347" s="35"/>
      <c r="C347" s="35"/>
      <c r="D347" s="94"/>
      <c r="E347" s="77"/>
      <c r="F347" s="100"/>
      <c r="G347" s="97"/>
      <c r="H347" s="42"/>
      <c r="I347" s="208"/>
      <c r="J347"/>
      <c r="K347"/>
      <c r="L347"/>
      <c r="Q347"/>
      <c r="U347" s="222"/>
    </row>
    <row r="348" spans="1:21" s="98" customFormat="1" ht="25.5">
      <c r="A348" s="34">
        <f>MAX(A$1:A347)+1</f>
        <v>50</v>
      </c>
      <c r="B348" s="35"/>
      <c r="C348" s="36" t="s">
        <v>813</v>
      </c>
      <c r="D348" s="37"/>
      <c r="E348" s="38" t="s">
        <v>814</v>
      </c>
      <c r="F348" s="92"/>
      <c r="G348" s="40" t="s">
        <v>33</v>
      </c>
      <c r="H348" s="64">
        <v>1</v>
      </c>
      <c r="I348" s="208"/>
      <c r="J348"/>
      <c r="K348"/>
      <c r="L348"/>
      <c r="Q348"/>
      <c r="U348" s="222"/>
    </row>
    <row r="349" spans="1:21" s="98" customFormat="1" ht="25.5">
      <c r="A349" s="145"/>
      <c r="B349" s="35"/>
      <c r="C349" s="66"/>
      <c r="D349" s="67" t="s">
        <v>815</v>
      </c>
      <c r="E349" s="71" t="s">
        <v>816</v>
      </c>
      <c r="F349" s="90"/>
      <c r="G349" s="62" t="s">
        <v>33</v>
      </c>
      <c r="H349" s="83">
        <v>1</v>
      </c>
      <c r="I349" s="208"/>
      <c r="J349"/>
      <c r="K349"/>
      <c r="L349"/>
      <c r="Q349"/>
      <c r="U349" s="222"/>
    </row>
    <row r="350" spans="1:21" s="98" customFormat="1">
      <c r="A350" s="145"/>
      <c r="B350" s="35"/>
      <c r="C350" s="35"/>
      <c r="D350" s="94"/>
      <c r="E350" s="77" t="s">
        <v>1572</v>
      </c>
      <c r="F350" s="212">
        <v>1</v>
      </c>
      <c r="G350" s="97"/>
      <c r="H350" s="42"/>
      <c r="I350" s="208"/>
      <c r="J350"/>
      <c r="K350"/>
      <c r="L350"/>
      <c r="Q350"/>
      <c r="U350" s="222"/>
    </row>
    <row r="351" spans="1:21" s="98" customFormat="1">
      <c r="A351" s="145"/>
      <c r="B351" s="35"/>
      <c r="C351" s="35"/>
      <c r="D351" s="94"/>
      <c r="E351" s="289" t="s">
        <v>817</v>
      </c>
      <c r="F351" s="100"/>
      <c r="G351" s="97"/>
      <c r="H351" s="42"/>
      <c r="I351" s="208"/>
      <c r="J351"/>
      <c r="K351"/>
      <c r="L351"/>
      <c r="Q351"/>
      <c r="U351" s="222"/>
    </row>
    <row r="352" spans="1:21" s="98" customFormat="1">
      <c r="A352" s="145"/>
      <c r="B352" s="35"/>
      <c r="C352" s="35"/>
      <c r="D352" s="94"/>
      <c r="E352" s="289" t="s">
        <v>1573</v>
      </c>
      <c r="F352" s="100"/>
      <c r="G352" s="97"/>
      <c r="H352" s="42"/>
      <c r="I352" s="208"/>
      <c r="J352"/>
      <c r="K352"/>
      <c r="L352"/>
      <c r="Q352"/>
      <c r="U352" s="222"/>
    </row>
    <row r="353" spans="1:21" s="98" customFormat="1" ht="17.25" customHeight="1">
      <c r="A353" s="145"/>
      <c r="B353" s="35"/>
      <c r="C353" s="35"/>
      <c r="D353" s="94"/>
      <c r="E353" s="289" t="s">
        <v>811</v>
      </c>
      <c r="F353" s="100"/>
      <c r="G353" s="97"/>
      <c r="H353" s="42"/>
      <c r="I353" s="709"/>
      <c r="J353"/>
      <c r="K353"/>
      <c r="L353"/>
      <c r="Q353"/>
      <c r="U353" s="222"/>
    </row>
    <row r="354" spans="1:21" s="98" customFormat="1" ht="16.5" customHeight="1">
      <c r="A354" s="145"/>
      <c r="B354" s="35"/>
      <c r="C354" s="35"/>
      <c r="D354" s="94"/>
      <c r="E354" s="289" t="s">
        <v>812</v>
      </c>
      <c r="F354" s="100"/>
      <c r="G354" s="97"/>
      <c r="H354" s="42"/>
      <c r="I354" s="709"/>
      <c r="J354"/>
      <c r="K354"/>
      <c r="L354"/>
      <c r="Q354"/>
      <c r="U354" s="222"/>
    </row>
    <row r="355" spans="1:21" s="98" customFormat="1" ht="21">
      <c r="A355" s="145"/>
      <c r="B355" s="35"/>
      <c r="C355" s="35"/>
      <c r="D355" s="94"/>
      <c r="E355" s="50"/>
      <c r="F355" s="100"/>
      <c r="G355" s="97"/>
      <c r="H355" s="42"/>
      <c r="I355" s="709"/>
      <c r="J355"/>
      <c r="K355"/>
      <c r="L355"/>
      <c r="Q355"/>
      <c r="U355" s="222"/>
    </row>
    <row r="356" spans="1:21" s="98" customFormat="1">
      <c r="A356" s="34">
        <f>MAX(A$1:A353)+1</f>
        <v>51</v>
      </c>
      <c r="B356" s="35"/>
      <c r="C356" s="36" t="s">
        <v>373</v>
      </c>
      <c r="D356" s="37"/>
      <c r="E356" s="38" t="s">
        <v>374</v>
      </c>
      <c r="F356" s="39"/>
      <c r="G356" s="40" t="s">
        <v>36</v>
      </c>
      <c r="H356" s="64">
        <v>136</v>
      </c>
      <c r="I356" s="208"/>
      <c r="J356"/>
      <c r="K356"/>
      <c r="L356"/>
      <c r="Q356"/>
      <c r="U356" s="222"/>
    </row>
    <row r="357" spans="1:21" s="98" customFormat="1">
      <c r="A357" s="145"/>
      <c r="B357" s="35"/>
      <c r="C357" s="36"/>
      <c r="D357" s="67" t="s">
        <v>375</v>
      </c>
      <c r="E357" s="71" t="s">
        <v>376</v>
      </c>
      <c r="F357" s="61"/>
      <c r="G357" s="62" t="s">
        <v>36</v>
      </c>
      <c r="H357" s="83">
        <v>69</v>
      </c>
      <c r="I357" s="208"/>
      <c r="J357"/>
      <c r="K357"/>
      <c r="L357"/>
      <c r="Q357"/>
      <c r="U357" s="222"/>
    </row>
    <row r="358" spans="1:21" s="98" customFormat="1" ht="27.75" customHeight="1">
      <c r="A358" s="145"/>
      <c r="B358" s="35"/>
      <c r="C358" s="36"/>
      <c r="D358" s="37"/>
      <c r="E358" s="68" t="s">
        <v>1574</v>
      </c>
      <c r="F358" s="46">
        <v>69</v>
      </c>
      <c r="G358" s="40"/>
      <c r="H358" s="64"/>
      <c r="I358" s="208"/>
      <c r="J358"/>
      <c r="K358"/>
      <c r="L358"/>
      <c r="Q358"/>
      <c r="U358" s="222"/>
    </row>
    <row r="359" spans="1:21" s="98" customFormat="1">
      <c r="A359" s="145"/>
      <c r="B359" s="35"/>
      <c r="C359" s="66"/>
      <c r="D359" s="67" t="s">
        <v>1320</v>
      </c>
      <c r="E359" s="71" t="s">
        <v>1321</v>
      </c>
      <c r="F359" s="61"/>
      <c r="G359" s="62" t="s">
        <v>36</v>
      </c>
      <c r="H359" s="83">
        <v>67</v>
      </c>
      <c r="I359" s="208"/>
      <c r="J359"/>
      <c r="K359"/>
      <c r="L359"/>
      <c r="Q359"/>
      <c r="U359" s="222"/>
    </row>
    <row r="360" spans="1:21" s="98" customFormat="1" ht="51">
      <c r="A360" s="145"/>
      <c r="B360" s="35"/>
      <c r="C360" s="35"/>
      <c r="D360" s="94"/>
      <c r="E360" s="65" t="s">
        <v>1575</v>
      </c>
      <c r="F360" s="212">
        <v>67</v>
      </c>
      <c r="G360" s="97"/>
      <c r="H360" s="42"/>
      <c r="I360" s="208"/>
      <c r="J360"/>
      <c r="K360"/>
      <c r="L360"/>
      <c r="Q360"/>
      <c r="U360" s="222"/>
    </row>
    <row r="361" spans="1:21" s="98" customFormat="1">
      <c r="A361" s="145"/>
      <c r="B361" s="35"/>
      <c r="C361" s="35"/>
      <c r="D361" s="94"/>
      <c r="E361" s="65"/>
      <c r="F361" s="212"/>
      <c r="G361" s="97"/>
      <c r="H361" s="42"/>
      <c r="I361" s="208"/>
      <c r="J361"/>
      <c r="K361"/>
      <c r="L361"/>
      <c r="Q361"/>
      <c r="U361" s="222"/>
    </row>
    <row r="362" spans="1:21" s="98" customFormat="1">
      <c r="A362" s="34">
        <f>MAX(A$1:A361)+1</f>
        <v>52</v>
      </c>
      <c r="B362" s="35"/>
      <c r="C362" s="36" t="s">
        <v>377</v>
      </c>
      <c r="D362" s="37"/>
      <c r="E362" s="38" t="s">
        <v>378</v>
      </c>
      <c r="F362" s="39"/>
      <c r="G362" s="40" t="s">
        <v>36</v>
      </c>
      <c r="H362" s="64">
        <v>37</v>
      </c>
      <c r="I362" s="221"/>
      <c r="J362"/>
      <c r="K362"/>
      <c r="L362"/>
      <c r="Q362"/>
      <c r="U362" s="222"/>
    </row>
    <row r="363" spans="1:21" s="98" customFormat="1">
      <c r="A363" s="145"/>
      <c r="B363" s="35"/>
      <c r="C363" s="66"/>
      <c r="D363" s="67" t="s">
        <v>379</v>
      </c>
      <c r="E363" s="71" t="s">
        <v>380</v>
      </c>
      <c r="F363" s="61"/>
      <c r="G363" s="62" t="s">
        <v>36</v>
      </c>
      <c r="H363" s="83">
        <v>37</v>
      </c>
      <c r="I363" s="208"/>
      <c r="J363"/>
      <c r="K363"/>
      <c r="L363"/>
      <c r="Q363"/>
      <c r="U363" s="222"/>
    </row>
    <row r="364" spans="1:21" s="98" customFormat="1" ht="25.5">
      <c r="A364" s="145"/>
      <c r="B364" s="35"/>
      <c r="C364" s="66"/>
      <c r="D364" s="67"/>
      <c r="E364" s="65" t="s">
        <v>1576</v>
      </c>
      <c r="F364" s="212">
        <v>30</v>
      </c>
      <c r="G364" s="62"/>
      <c r="H364" s="83"/>
      <c r="I364" s="208"/>
      <c r="J364"/>
      <c r="K364"/>
      <c r="L364"/>
      <c r="Q364"/>
      <c r="U364" s="222"/>
    </row>
    <row r="365" spans="1:21" s="98" customFormat="1">
      <c r="A365" s="145"/>
      <c r="B365" s="35"/>
      <c r="C365" s="35"/>
      <c r="D365" s="94"/>
      <c r="E365" s="65" t="s">
        <v>1577</v>
      </c>
      <c r="F365" s="213">
        <v>7</v>
      </c>
      <c r="G365" s="97"/>
      <c r="H365" s="42"/>
      <c r="I365" s="693"/>
      <c r="J365"/>
      <c r="K365"/>
      <c r="L365"/>
      <c r="Q365"/>
      <c r="U365" s="222"/>
    </row>
    <row r="366" spans="1:21" s="98" customFormat="1">
      <c r="A366" s="145"/>
      <c r="B366" s="35"/>
      <c r="C366" s="35"/>
      <c r="D366" s="94"/>
      <c r="E366" s="65"/>
      <c r="F366" s="212">
        <f>SUM(F364:F365)</f>
        <v>37</v>
      </c>
      <c r="G366" s="97"/>
      <c r="H366" s="42"/>
      <c r="I366" s="693"/>
      <c r="J366"/>
      <c r="K366"/>
      <c r="L366"/>
      <c r="Q366"/>
      <c r="U366" s="222"/>
    </row>
    <row r="367" spans="1:21" s="98" customFormat="1">
      <c r="A367" s="145"/>
      <c r="B367" s="35"/>
      <c r="C367" s="35"/>
      <c r="D367" s="94"/>
      <c r="E367" s="65"/>
      <c r="F367" s="212"/>
      <c r="G367" s="97"/>
      <c r="H367" s="42"/>
      <c r="I367" s="208"/>
      <c r="J367"/>
      <c r="K367"/>
      <c r="L367"/>
      <c r="Q367"/>
      <c r="U367" s="222"/>
    </row>
    <row r="368" spans="1:21" s="98" customFormat="1" ht="25.5">
      <c r="A368" s="220">
        <f>MAX(A$1:A365)+1</f>
        <v>53</v>
      </c>
      <c r="B368" s="43"/>
      <c r="C368" s="36" t="s">
        <v>304</v>
      </c>
      <c r="D368" s="37"/>
      <c r="E368" s="38" t="s">
        <v>305</v>
      </c>
      <c r="F368" s="39"/>
      <c r="G368" s="40" t="s">
        <v>21</v>
      </c>
      <c r="H368" s="52">
        <v>184</v>
      </c>
      <c r="I368" s="208"/>
      <c r="J368"/>
      <c r="K368"/>
      <c r="L368"/>
      <c r="Q368"/>
      <c r="U368" s="222"/>
    </row>
    <row r="369" spans="1:21" s="98" customFormat="1" ht="25.5">
      <c r="A369" s="178"/>
      <c r="B369" s="217"/>
      <c r="C369" s="217"/>
      <c r="D369" s="67" t="s">
        <v>306</v>
      </c>
      <c r="E369" s="71" t="s">
        <v>307</v>
      </c>
      <c r="F369" s="61"/>
      <c r="G369" s="218" t="s">
        <v>21</v>
      </c>
      <c r="H369" s="99">
        <v>184</v>
      </c>
      <c r="I369" s="208"/>
      <c r="J369"/>
      <c r="K369"/>
      <c r="L369"/>
      <c r="Q369"/>
      <c r="U369" s="222"/>
    </row>
    <row r="370" spans="1:21" s="98" customFormat="1" ht="25.5">
      <c r="A370" s="72"/>
      <c r="B370" s="73"/>
      <c r="C370" s="66"/>
      <c r="D370" s="67"/>
      <c r="E370" s="65" t="s">
        <v>1069</v>
      </c>
      <c r="F370" s="46">
        <v>184</v>
      </c>
      <c r="G370" s="62"/>
      <c r="H370" s="42"/>
      <c r="I370" s="208"/>
      <c r="J370"/>
      <c r="K370"/>
      <c r="L370"/>
      <c r="Q370"/>
      <c r="U370" s="222"/>
    </row>
    <row r="371" spans="1:21" s="98" customFormat="1">
      <c r="A371" s="145"/>
      <c r="B371" s="35"/>
      <c r="C371" s="35"/>
      <c r="D371" s="94"/>
      <c r="E371" s="65"/>
      <c r="F371" s="212"/>
      <c r="G371" s="97"/>
      <c r="H371" s="42"/>
      <c r="I371" s="208"/>
      <c r="J371"/>
      <c r="K371"/>
      <c r="L371"/>
      <c r="Q371"/>
      <c r="U371" s="222"/>
    </row>
    <row r="372" spans="1:21" ht="25.5">
      <c r="A372" s="105"/>
      <c r="B372" s="35" t="s">
        <v>270</v>
      </c>
      <c r="C372" s="35"/>
      <c r="D372" s="94"/>
      <c r="E372" s="211" t="s">
        <v>271</v>
      </c>
      <c r="F372" s="46"/>
      <c r="G372" s="62"/>
      <c r="H372" s="74"/>
    </row>
    <row r="373" spans="1:21">
      <c r="A373" s="105"/>
      <c r="B373" s="35"/>
      <c r="C373" s="35"/>
      <c r="D373" s="94"/>
      <c r="E373" s="211"/>
      <c r="F373" s="46"/>
      <c r="G373" s="62"/>
      <c r="H373" s="74"/>
    </row>
    <row r="374" spans="1:21" ht="25.5">
      <c r="A374" s="34">
        <f>MAX(A$1:A373)+1</f>
        <v>54</v>
      </c>
      <c r="B374" s="35"/>
      <c r="C374" s="36" t="s">
        <v>513</v>
      </c>
      <c r="D374" s="37"/>
      <c r="E374" s="38" t="s">
        <v>514</v>
      </c>
      <c r="F374" s="39"/>
      <c r="G374" s="40" t="s">
        <v>18</v>
      </c>
      <c r="H374" s="44">
        <v>0.44</v>
      </c>
    </row>
    <row r="375" spans="1:21" ht="25.5">
      <c r="A375" s="105"/>
      <c r="B375" s="35"/>
      <c r="C375" s="35"/>
      <c r="D375" s="94"/>
      <c r="E375" s="65" t="s">
        <v>1578</v>
      </c>
      <c r="F375" s="46">
        <f>0.04*11</f>
        <v>0.44</v>
      </c>
      <c r="G375" s="62"/>
      <c r="H375" s="74"/>
      <c r="L375" s="140"/>
    </row>
    <row r="376" spans="1:21">
      <c r="A376" s="105"/>
      <c r="B376" s="35"/>
      <c r="C376" s="35"/>
      <c r="D376" s="94"/>
      <c r="E376" s="211"/>
      <c r="F376" s="46"/>
      <c r="G376" s="62"/>
      <c r="H376" s="74"/>
    </row>
    <row r="377" spans="1:21" ht="25.5">
      <c r="A377" s="34">
        <f>MAX(A$1:A376)+1</f>
        <v>55</v>
      </c>
      <c r="B377" s="35"/>
      <c r="C377" s="36" t="s">
        <v>385</v>
      </c>
      <c r="D377" s="37"/>
      <c r="E377" s="38" t="s">
        <v>386</v>
      </c>
      <c r="F377" s="39"/>
      <c r="G377" s="40" t="s">
        <v>18</v>
      </c>
      <c r="H377" s="52">
        <v>595.20000000000005</v>
      </c>
    </row>
    <row r="378" spans="1:21" ht="25.5">
      <c r="A378" s="105"/>
      <c r="B378" s="35"/>
      <c r="C378" s="35"/>
      <c r="D378" s="94"/>
      <c r="E378" s="65" t="s">
        <v>1579</v>
      </c>
      <c r="F378" s="46">
        <f>0.2*93</f>
        <v>18.600000000000001</v>
      </c>
      <c r="G378" s="62"/>
      <c r="H378" s="74"/>
    </row>
    <row r="379" spans="1:21" ht="25.5">
      <c r="A379" s="105"/>
      <c r="B379" s="35"/>
      <c r="C379" s="35"/>
      <c r="D379" s="94"/>
      <c r="E379" s="65" t="s">
        <v>1580</v>
      </c>
      <c r="F379" s="46">
        <f>0.15*1380</f>
        <v>207</v>
      </c>
      <c r="G379" s="62"/>
      <c r="H379" s="74"/>
    </row>
    <row r="380" spans="1:21" ht="38.25">
      <c r="A380" s="105"/>
      <c r="B380" s="35"/>
      <c r="C380" s="35"/>
      <c r="D380" s="94"/>
      <c r="E380" s="65" t="s">
        <v>1581</v>
      </c>
      <c r="F380" s="69">
        <f>0.2*1848</f>
        <v>369.6</v>
      </c>
      <c r="G380" s="62"/>
      <c r="H380" s="74"/>
    </row>
    <row r="381" spans="1:21">
      <c r="A381" s="105"/>
      <c r="B381" s="35"/>
      <c r="C381" s="35"/>
      <c r="D381" s="94"/>
      <c r="E381" s="65"/>
      <c r="F381" s="46">
        <f>SUM(F378:F380)</f>
        <v>595.20000000000005</v>
      </c>
      <c r="G381" s="62"/>
      <c r="H381" s="74"/>
      <c r="L381" s="120"/>
    </row>
    <row r="382" spans="1:21">
      <c r="A382" s="105"/>
      <c r="B382" s="35"/>
      <c r="C382" s="35"/>
      <c r="D382" s="94"/>
      <c r="E382" s="65"/>
      <c r="F382" s="46"/>
      <c r="G382" s="62"/>
      <c r="H382" s="74"/>
    </row>
    <row r="383" spans="1:21" ht="25.5">
      <c r="A383" s="34">
        <f>MAX(A$1:A382)+1</f>
        <v>56</v>
      </c>
      <c r="B383" s="35"/>
      <c r="C383" s="36" t="s">
        <v>430</v>
      </c>
      <c r="D383" s="37"/>
      <c r="E383" s="38" t="s">
        <v>431</v>
      </c>
      <c r="F383" s="39"/>
      <c r="G383" s="40" t="s">
        <v>18</v>
      </c>
      <c r="H383" s="64">
        <v>400.04999999999995</v>
      </c>
    </row>
    <row r="384" spans="1:21" ht="38.25">
      <c r="A384" s="145"/>
      <c r="B384" s="35"/>
      <c r="C384" s="36"/>
      <c r="D384" s="67" t="s">
        <v>1077</v>
      </c>
      <c r="E384" s="71" t="s">
        <v>1078</v>
      </c>
      <c r="F384" s="61"/>
      <c r="G384" s="62" t="s">
        <v>18</v>
      </c>
      <c r="H384" s="83">
        <v>376.79999999999995</v>
      </c>
    </row>
    <row r="385" spans="1:12" ht="25.5">
      <c r="A385" s="145"/>
      <c r="B385" s="35"/>
      <c r="C385" s="36"/>
      <c r="D385" s="37"/>
      <c r="E385" s="65" t="s">
        <v>1582</v>
      </c>
      <c r="F385" s="46">
        <f>0.12*1380</f>
        <v>165.6</v>
      </c>
      <c r="G385" s="40"/>
      <c r="H385" s="64"/>
    </row>
    <row r="386" spans="1:12" ht="25.5">
      <c r="A386" s="145"/>
      <c r="B386" s="35"/>
      <c r="C386" s="36"/>
      <c r="D386" s="37"/>
      <c r="E386" s="65" t="s">
        <v>1583</v>
      </c>
      <c r="F386" s="69">
        <f>0.12*1760</f>
        <v>211.2</v>
      </c>
      <c r="G386" s="40"/>
      <c r="H386" s="64"/>
    </row>
    <row r="387" spans="1:12">
      <c r="A387" s="145"/>
      <c r="B387" s="35"/>
      <c r="C387" s="36"/>
      <c r="D387" s="37"/>
      <c r="E387" s="65"/>
      <c r="F387" s="46">
        <f>SUM(F385:F386)</f>
        <v>376.79999999999995</v>
      </c>
      <c r="G387" s="40"/>
      <c r="H387" s="64"/>
    </row>
    <row r="388" spans="1:12" ht="39">
      <c r="A388" s="105"/>
      <c r="B388" s="35"/>
      <c r="C388" s="35"/>
      <c r="D388" s="67" t="s">
        <v>1082</v>
      </c>
      <c r="E388" s="61" t="s">
        <v>1083</v>
      </c>
      <c r="F388" s="61"/>
      <c r="G388" s="62" t="s">
        <v>18</v>
      </c>
      <c r="H388" s="83">
        <v>23.25</v>
      </c>
    </row>
    <row r="389" spans="1:12" ht="25.5">
      <c r="A389" s="105"/>
      <c r="B389" s="35"/>
      <c r="C389" s="35"/>
      <c r="D389" s="94"/>
      <c r="E389" s="65" t="s">
        <v>1584</v>
      </c>
      <c r="F389" s="46">
        <f>0.25*93</f>
        <v>23.25</v>
      </c>
      <c r="G389" s="62"/>
      <c r="H389" s="74"/>
    </row>
    <row r="390" spans="1:12">
      <c r="A390" s="105"/>
      <c r="B390" s="35"/>
      <c r="C390" s="35"/>
      <c r="D390" s="94"/>
      <c r="E390" s="65"/>
      <c r="F390" s="46"/>
      <c r="G390" s="62"/>
      <c r="H390" s="74"/>
      <c r="L390" s="120"/>
    </row>
    <row r="391" spans="1:12" ht="25.5">
      <c r="A391" s="34">
        <f>MAX(A$1:A390)+1</f>
        <v>57</v>
      </c>
      <c r="B391" s="35"/>
      <c r="C391" s="36" t="s">
        <v>312</v>
      </c>
      <c r="D391" s="37"/>
      <c r="E391" s="38" t="s">
        <v>313</v>
      </c>
      <c r="F391" s="39"/>
      <c r="G391" s="40" t="s">
        <v>21</v>
      </c>
      <c r="H391" s="64">
        <v>1473</v>
      </c>
    </row>
    <row r="392" spans="1:12" ht="25.5">
      <c r="A392" s="145"/>
      <c r="B392" s="35"/>
      <c r="C392" s="36"/>
      <c r="D392" s="67" t="s">
        <v>613</v>
      </c>
      <c r="E392" s="71" t="s">
        <v>1085</v>
      </c>
      <c r="F392" s="61"/>
      <c r="G392" s="62" t="s">
        <v>21</v>
      </c>
      <c r="H392" s="83">
        <v>1380</v>
      </c>
    </row>
    <row r="393" spans="1:12">
      <c r="A393" s="145"/>
      <c r="B393" s="35"/>
      <c r="C393" s="36"/>
      <c r="D393" s="37"/>
      <c r="E393" s="65" t="s">
        <v>1585</v>
      </c>
      <c r="F393" s="90">
        <v>1380</v>
      </c>
      <c r="G393" s="40"/>
      <c r="H393" s="64"/>
    </row>
    <row r="394" spans="1:12" ht="38.25">
      <c r="A394" s="105"/>
      <c r="B394" s="35"/>
      <c r="C394" s="66"/>
      <c r="D394" s="67" t="s">
        <v>1088</v>
      </c>
      <c r="E394" s="71" t="s">
        <v>1089</v>
      </c>
      <c r="F394" s="61"/>
      <c r="G394" s="62" t="s">
        <v>21</v>
      </c>
      <c r="H394" s="83">
        <v>93</v>
      </c>
    </row>
    <row r="395" spans="1:12">
      <c r="A395" s="105"/>
      <c r="B395" s="35"/>
      <c r="C395" s="35"/>
      <c r="D395" s="94"/>
      <c r="E395" s="65" t="s">
        <v>1586</v>
      </c>
      <c r="F395" s="46">
        <v>93</v>
      </c>
      <c r="G395" s="62"/>
      <c r="H395" s="74"/>
    </row>
    <row r="396" spans="1:12">
      <c r="A396" s="105"/>
      <c r="B396" s="35"/>
      <c r="C396" s="35"/>
      <c r="D396" s="94"/>
      <c r="E396" s="65"/>
      <c r="F396" s="46"/>
      <c r="G396" s="62"/>
      <c r="H396" s="74"/>
    </row>
    <row r="397" spans="1:12" ht="25.5">
      <c r="A397" s="34">
        <f>MAX(A$1:A396)+1</f>
        <v>58</v>
      </c>
      <c r="B397" s="35"/>
      <c r="C397" s="36" t="s">
        <v>576</v>
      </c>
      <c r="D397" s="37"/>
      <c r="E397" s="38" t="s">
        <v>577</v>
      </c>
      <c r="F397" s="39"/>
      <c r="G397" s="40" t="s">
        <v>36</v>
      </c>
      <c r="H397" s="52">
        <v>7.4</v>
      </c>
    </row>
    <row r="398" spans="1:12" ht="25.5">
      <c r="A398" s="105"/>
      <c r="B398" s="35"/>
      <c r="C398" s="66"/>
      <c r="D398" s="67" t="s">
        <v>754</v>
      </c>
      <c r="E398" s="71" t="s">
        <v>755</v>
      </c>
      <c r="F398" s="61"/>
      <c r="G398" s="62" t="s">
        <v>36</v>
      </c>
      <c r="H398" s="99">
        <v>7.4</v>
      </c>
    </row>
    <row r="399" spans="1:12">
      <c r="A399" s="105"/>
      <c r="B399" s="35"/>
      <c r="C399" s="66"/>
      <c r="D399" s="67"/>
      <c r="E399" s="65" t="s">
        <v>1587</v>
      </c>
      <c r="F399" s="46">
        <f>2.75*2+0.95*2</f>
        <v>7.4</v>
      </c>
      <c r="G399" s="62"/>
      <c r="H399" s="74"/>
    </row>
    <row r="400" spans="1:12">
      <c r="A400" s="105"/>
      <c r="B400" s="35"/>
      <c r="C400" s="66"/>
      <c r="D400" s="67"/>
      <c r="E400" s="65"/>
      <c r="F400" s="46"/>
      <c r="G400" s="62"/>
      <c r="H400" s="74"/>
    </row>
    <row r="401" spans="1:21" s="98" customFormat="1">
      <c r="A401" s="95"/>
      <c r="B401" s="35" t="s">
        <v>131</v>
      </c>
      <c r="C401" s="35"/>
      <c r="D401" s="94"/>
      <c r="E401" s="50" t="s">
        <v>132</v>
      </c>
      <c r="F401" s="100"/>
      <c r="G401" s="97"/>
      <c r="H401" s="42"/>
      <c r="I401"/>
      <c r="J401"/>
      <c r="K401"/>
      <c r="L401"/>
    </row>
    <row r="402" spans="1:21">
      <c r="A402" s="105"/>
      <c r="B402" s="35"/>
      <c r="C402" s="35"/>
      <c r="D402" s="94"/>
      <c r="E402" s="65"/>
      <c r="F402" s="46"/>
      <c r="G402" s="62"/>
      <c r="H402" s="74"/>
    </row>
    <row r="403" spans="1:21">
      <c r="A403" s="34">
        <f>MAX(A$1:A402)+1</f>
        <v>59</v>
      </c>
      <c r="B403" s="43"/>
      <c r="C403" s="36" t="s">
        <v>586</v>
      </c>
      <c r="D403" s="37"/>
      <c r="E403" s="38" t="s">
        <v>587</v>
      </c>
      <c r="F403" s="39"/>
      <c r="G403" s="40" t="s">
        <v>36</v>
      </c>
      <c r="H403" s="52">
        <v>28</v>
      </c>
      <c r="I403"/>
      <c r="U403"/>
    </row>
    <row r="404" spans="1:21">
      <c r="A404" s="72"/>
      <c r="B404" s="73"/>
      <c r="C404" s="66"/>
      <c r="D404" s="67" t="s">
        <v>588</v>
      </c>
      <c r="E404" s="71" t="s">
        <v>589</v>
      </c>
      <c r="F404" s="61"/>
      <c r="G404" s="62" t="s">
        <v>36</v>
      </c>
      <c r="H404" s="99">
        <v>28</v>
      </c>
      <c r="I404"/>
      <c r="U404"/>
    </row>
    <row r="405" spans="1:21">
      <c r="A405" s="105"/>
      <c r="B405" s="35"/>
      <c r="C405" s="35"/>
      <c r="D405" s="94"/>
      <c r="E405" s="65" t="s">
        <v>1588</v>
      </c>
      <c r="F405" s="46">
        <f>7*4</f>
        <v>28</v>
      </c>
      <c r="G405" s="62"/>
      <c r="H405" s="74"/>
    </row>
    <row r="406" spans="1:21">
      <c r="A406" s="105"/>
      <c r="B406" s="35"/>
      <c r="C406" s="35"/>
      <c r="D406" s="94"/>
      <c r="E406" s="65"/>
      <c r="F406" s="46"/>
      <c r="G406" s="62"/>
      <c r="H406" s="74"/>
    </row>
    <row r="407" spans="1:21" ht="25.5">
      <c r="A407" s="34">
        <f>MAX(A$1:A406)+1</f>
        <v>60</v>
      </c>
      <c r="B407" s="35"/>
      <c r="C407" s="36" t="s">
        <v>590</v>
      </c>
      <c r="D407" s="37"/>
      <c r="E407" s="38" t="s">
        <v>591</v>
      </c>
      <c r="F407" s="39"/>
      <c r="G407" s="40" t="s">
        <v>18</v>
      </c>
      <c r="H407" s="52">
        <v>15.26</v>
      </c>
    </row>
    <row r="408" spans="1:21" ht="25.5">
      <c r="A408" s="105"/>
      <c r="B408" s="35"/>
      <c r="C408" s="66"/>
      <c r="D408" s="67" t="s">
        <v>592</v>
      </c>
      <c r="E408" s="71" t="s">
        <v>593</v>
      </c>
      <c r="F408" s="61"/>
      <c r="G408" s="62" t="s">
        <v>18</v>
      </c>
      <c r="H408" s="99">
        <v>15.26</v>
      </c>
    </row>
    <row r="409" spans="1:21">
      <c r="A409" s="105"/>
      <c r="B409" s="35"/>
      <c r="C409" s="35"/>
      <c r="D409" s="94"/>
      <c r="E409" s="65" t="s">
        <v>1589</v>
      </c>
      <c r="F409" s="46">
        <f>3.14*0.45*0.45*6*4</f>
        <v>15.260400000000001</v>
      </c>
      <c r="G409" s="62"/>
      <c r="H409" s="74"/>
    </row>
    <row r="410" spans="1:21">
      <c r="A410" s="105"/>
      <c r="B410" s="35"/>
      <c r="C410" s="35"/>
      <c r="D410" s="94"/>
      <c r="E410" s="65"/>
      <c r="F410" s="46"/>
      <c r="G410" s="62"/>
      <c r="H410" s="74"/>
    </row>
    <row r="411" spans="1:21" ht="25.5">
      <c r="A411" s="34">
        <f>MAX(A$1:A410)+1</f>
        <v>61</v>
      </c>
      <c r="B411" s="35"/>
      <c r="C411" s="36" t="s">
        <v>594</v>
      </c>
      <c r="D411" s="37"/>
      <c r="E411" s="38" t="s">
        <v>595</v>
      </c>
      <c r="F411" s="39"/>
      <c r="G411" s="40" t="s">
        <v>15</v>
      </c>
      <c r="H411" s="52">
        <v>1.03</v>
      </c>
    </row>
    <row r="412" spans="1:21" ht="25.5">
      <c r="A412" s="105"/>
      <c r="B412" s="35"/>
      <c r="C412" s="66"/>
      <c r="D412" s="67" t="s">
        <v>596</v>
      </c>
      <c r="E412" s="71" t="s">
        <v>597</v>
      </c>
      <c r="F412" s="61"/>
      <c r="G412" s="62" t="s">
        <v>15</v>
      </c>
      <c r="H412" s="99">
        <v>1.03</v>
      </c>
    </row>
    <row r="413" spans="1:21">
      <c r="A413" s="105"/>
      <c r="B413" s="35"/>
      <c r="C413" s="35"/>
      <c r="D413" s="94"/>
      <c r="E413" s="65" t="s">
        <v>601</v>
      </c>
      <c r="F413" s="46"/>
      <c r="G413" s="62"/>
      <c r="H413" s="74"/>
    </row>
    <row r="414" spans="1:21">
      <c r="A414" s="105"/>
      <c r="B414" s="35"/>
      <c r="C414" s="35"/>
      <c r="D414" s="94"/>
      <c r="E414" s="65" t="s">
        <v>1590</v>
      </c>
      <c r="F414" s="46">
        <f>0.257*4</f>
        <v>1.028</v>
      </c>
      <c r="G414" s="62"/>
      <c r="H414" s="74"/>
    </row>
    <row r="415" spans="1:21">
      <c r="A415" s="105"/>
      <c r="B415" s="35"/>
      <c r="C415" s="35"/>
      <c r="D415" s="94"/>
      <c r="E415" s="65"/>
      <c r="F415" s="46"/>
      <c r="G415" s="62"/>
      <c r="H415" s="74"/>
    </row>
    <row r="416" spans="1:21" ht="25.5">
      <c r="A416" s="34">
        <f>MAX(A$1:A415)+1</f>
        <v>62</v>
      </c>
      <c r="B416" s="35"/>
      <c r="C416" s="36" t="s">
        <v>345</v>
      </c>
      <c r="D416" s="37"/>
      <c r="E416" s="38" t="s">
        <v>346</v>
      </c>
      <c r="F416" s="39"/>
      <c r="G416" s="40" t="s">
        <v>21</v>
      </c>
      <c r="H416" s="64">
        <v>154</v>
      </c>
    </row>
    <row r="417" spans="1:8" ht="25.5">
      <c r="A417" s="105"/>
      <c r="B417" s="35"/>
      <c r="C417" s="66"/>
      <c r="D417" s="67" t="s">
        <v>347</v>
      </c>
      <c r="E417" s="71" t="s">
        <v>348</v>
      </c>
      <c r="F417" s="61"/>
      <c r="G417" s="62" t="s">
        <v>21</v>
      </c>
      <c r="H417" s="83">
        <v>154</v>
      </c>
    </row>
    <row r="418" spans="1:8" ht="25.5">
      <c r="A418" s="105"/>
      <c r="B418" s="35"/>
      <c r="C418" s="35"/>
      <c r="D418" s="94"/>
      <c r="E418" s="65" t="s">
        <v>1369</v>
      </c>
      <c r="F418" s="46">
        <v>154</v>
      </c>
      <c r="G418" s="62"/>
      <c r="H418" s="74"/>
    </row>
    <row r="419" spans="1:8">
      <c r="A419" s="105"/>
      <c r="B419" s="35"/>
      <c r="C419" s="35"/>
      <c r="D419" s="94"/>
      <c r="E419" s="65"/>
      <c r="F419" s="46"/>
      <c r="G419" s="62"/>
      <c r="H419" s="74"/>
    </row>
    <row r="420" spans="1:8">
      <c r="A420" s="105"/>
      <c r="B420" s="35" t="s">
        <v>416</v>
      </c>
      <c r="C420" s="35"/>
      <c r="D420" s="94"/>
      <c r="E420" s="50" t="s">
        <v>417</v>
      </c>
      <c r="F420" s="46"/>
      <c r="G420" s="62"/>
      <c r="H420" s="74"/>
    </row>
    <row r="421" spans="1:8">
      <c r="A421" s="105"/>
      <c r="B421" s="35"/>
      <c r="C421" s="35"/>
      <c r="D421" s="94"/>
      <c r="E421" s="65"/>
      <c r="F421" s="46"/>
      <c r="G421" s="62"/>
      <c r="H421" s="74"/>
    </row>
    <row r="422" spans="1:8">
      <c r="A422" s="34">
        <f>MAX(A$1:A421)+1</f>
        <v>63</v>
      </c>
      <c r="B422" s="35"/>
      <c r="C422" s="36" t="s">
        <v>776</v>
      </c>
      <c r="D422" s="37"/>
      <c r="E422" s="38" t="s">
        <v>777</v>
      </c>
      <c r="F422" s="39"/>
      <c r="G422" s="40" t="s">
        <v>18</v>
      </c>
      <c r="H422" s="52">
        <v>11.52</v>
      </c>
    </row>
    <row r="423" spans="1:8">
      <c r="A423" s="105"/>
      <c r="B423" s="35"/>
      <c r="C423" s="66"/>
      <c r="D423" s="191" t="s">
        <v>778</v>
      </c>
      <c r="E423" s="193" t="s">
        <v>779</v>
      </c>
      <c r="F423" s="192"/>
      <c r="G423" s="32" t="s">
        <v>18</v>
      </c>
      <c r="H423" s="99">
        <v>11.52</v>
      </c>
    </row>
    <row r="424" spans="1:8">
      <c r="A424" s="105"/>
      <c r="B424" s="35"/>
      <c r="C424" s="66"/>
      <c r="D424" s="191"/>
      <c r="E424" s="210" t="s">
        <v>600</v>
      </c>
      <c r="F424" s="192"/>
      <c r="G424" s="32"/>
      <c r="H424" s="99"/>
    </row>
    <row r="425" spans="1:8">
      <c r="A425" s="105"/>
      <c r="B425" s="35"/>
      <c r="C425" s="66"/>
      <c r="D425" s="191"/>
      <c r="E425" s="103" t="s">
        <v>1591</v>
      </c>
      <c r="F425" s="278">
        <f>3.8*1.4*0.1+3.5*1.4*0.1</f>
        <v>1.0219999999999998</v>
      </c>
      <c r="G425" s="32"/>
      <c r="H425" s="99"/>
    </row>
    <row r="426" spans="1:8">
      <c r="A426" s="105"/>
      <c r="B426" s="35"/>
      <c r="C426" s="66"/>
      <c r="D426" s="191"/>
      <c r="E426" s="193"/>
      <c r="F426" s="192"/>
      <c r="G426" s="32"/>
      <c r="H426" s="99"/>
    </row>
    <row r="427" spans="1:8" ht="25.5">
      <c r="A427" s="105"/>
      <c r="B427" s="35"/>
      <c r="C427" s="35"/>
      <c r="D427" s="94"/>
      <c r="E427" s="65" t="s">
        <v>1592</v>
      </c>
      <c r="F427" s="46">
        <f>3.6*1.2*1+3.3*1.2*1</f>
        <v>8.2799999999999994</v>
      </c>
      <c r="G427" s="62"/>
      <c r="H427" s="74"/>
    </row>
    <row r="428" spans="1:8" ht="25.5">
      <c r="A428" s="105"/>
      <c r="B428" s="35"/>
      <c r="C428" s="35"/>
      <c r="D428" s="94"/>
      <c r="E428" s="65" t="s">
        <v>1593</v>
      </c>
      <c r="F428" s="69">
        <f>(3.14*0.42*0.42+0.81*0.84)*1.8</f>
        <v>2.2217328000000003</v>
      </c>
      <c r="G428" s="62"/>
      <c r="H428" s="74"/>
    </row>
    <row r="429" spans="1:8">
      <c r="A429" s="105"/>
      <c r="B429" s="35"/>
      <c r="C429" s="35"/>
      <c r="D429" s="94"/>
      <c r="E429" s="65"/>
      <c r="F429" s="46">
        <f>SUM(F427:F428)</f>
        <v>10.501732799999999</v>
      </c>
      <c r="G429" s="62"/>
      <c r="H429" s="74"/>
    </row>
    <row r="430" spans="1:8">
      <c r="A430" s="105"/>
      <c r="B430" s="35"/>
      <c r="C430" s="35"/>
      <c r="D430" s="94"/>
      <c r="E430" s="91" t="s">
        <v>41</v>
      </c>
      <c r="F430" s="123">
        <f>F425+F429</f>
        <v>11.523732799999999</v>
      </c>
      <c r="G430" s="62"/>
      <c r="H430" s="74"/>
    </row>
    <row r="431" spans="1:8">
      <c r="A431" s="105"/>
      <c r="B431" s="35"/>
      <c r="C431" s="35"/>
      <c r="D431" s="94"/>
      <c r="E431" s="65"/>
      <c r="F431" s="46"/>
      <c r="G431" s="62"/>
      <c r="H431" s="74"/>
    </row>
    <row r="432" spans="1:8">
      <c r="A432" s="34">
        <f>MAX(A$1:A431)+1</f>
        <v>64</v>
      </c>
      <c r="B432" s="35"/>
      <c r="C432" s="36" t="s">
        <v>680</v>
      </c>
      <c r="D432" s="37"/>
      <c r="E432" s="38" t="s">
        <v>681</v>
      </c>
      <c r="F432" s="39"/>
      <c r="G432" s="40" t="s">
        <v>21</v>
      </c>
      <c r="H432" s="52">
        <v>7.66</v>
      </c>
    </row>
    <row r="433" spans="1:21">
      <c r="A433" s="105"/>
      <c r="B433" s="35"/>
      <c r="C433" s="66"/>
      <c r="D433" s="67" t="s">
        <v>682</v>
      </c>
      <c r="E433" s="71" t="s">
        <v>683</v>
      </c>
      <c r="F433" s="61"/>
      <c r="G433" s="62" t="s">
        <v>21</v>
      </c>
      <c r="H433" s="99">
        <v>7.66</v>
      </c>
    </row>
    <row r="434" spans="1:21">
      <c r="A434" s="105"/>
      <c r="B434" s="35"/>
      <c r="C434" s="35"/>
      <c r="D434" s="94"/>
      <c r="E434" s="65" t="s">
        <v>1594</v>
      </c>
      <c r="F434" s="46">
        <f>(2*3.14*0.42+0.81*2)*1.8</f>
        <v>7.6636800000000003</v>
      </c>
      <c r="G434" s="62"/>
      <c r="H434" s="74"/>
    </row>
    <row r="435" spans="1:21">
      <c r="A435" s="105"/>
      <c r="B435" s="35"/>
      <c r="C435" s="35"/>
      <c r="D435" s="94"/>
      <c r="E435" s="65"/>
      <c r="F435" s="46"/>
      <c r="G435" s="62"/>
      <c r="H435" s="74"/>
    </row>
    <row r="436" spans="1:21">
      <c r="A436" s="34">
        <f>MAX(A$1:A435)+1</f>
        <v>65</v>
      </c>
      <c r="B436" s="35"/>
      <c r="C436" s="36" t="s">
        <v>741</v>
      </c>
      <c r="D436" s="37"/>
      <c r="E436" s="38" t="s">
        <v>742</v>
      </c>
      <c r="F436" s="39"/>
      <c r="G436" s="40" t="s">
        <v>15</v>
      </c>
      <c r="H436" s="52">
        <v>1.4</v>
      </c>
    </row>
    <row r="437" spans="1:21">
      <c r="A437" s="105"/>
      <c r="B437" s="35"/>
      <c r="C437" s="35"/>
      <c r="D437" s="67" t="s">
        <v>780</v>
      </c>
      <c r="E437" s="71" t="s">
        <v>781</v>
      </c>
      <c r="F437" s="61"/>
      <c r="G437" s="62" t="s">
        <v>15</v>
      </c>
      <c r="H437" s="99">
        <v>1.4</v>
      </c>
    </row>
    <row r="438" spans="1:21">
      <c r="A438" s="105"/>
      <c r="B438" s="35"/>
      <c r="C438" s="35"/>
      <c r="D438" s="94"/>
      <c r="E438" s="65" t="s">
        <v>601</v>
      </c>
      <c r="F438" s="46"/>
      <c r="G438" s="62"/>
      <c r="H438" s="74"/>
    </row>
    <row r="439" spans="1:21">
      <c r="A439" s="105"/>
      <c r="B439" s="35"/>
      <c r="C439" s="35"/>
      <c r="D439" s="94"/>
      <c r="E439" s="65" t="s">
        <v>1595</v>
      </c>
      <c r="F439" s="46">
        <f>(863+424)/1000</f>
        <v>1.2869999999999999</v>
      </c>
      <c r="G439" s="62"/>
      <c r="H439" s="74"/>
    </row>
    <row r="440" spans="1:21">
      <c r="A440" s="105"/>
      <c r="B440" s="35"/>
      <c r="C440" s="35"/>
      <c r="D440" s="94"/>
      <c r="E440" s="65" t="s">
        <v>1596</v>
      </c>
      <c r="F440" s="69">
        <f>112/1000</f>
        <v>0.112</v>
      </c>
      <c r="G440" s="62"/>
      <c r="H440" s="74"/>
    </row>
    <row r="441" spans="1:21">
      <c r="A441" s="72"/>
      <c r="B441" s="73"/>
      <c r="C441" s="66"/>
      <c r="D441" s="67"/>
      <c r="E441" s="84"/>
      <c r="F441" s="90">
        <f>SUM(F439:F440)</f>
        <v>1.399</v>
      </c>
      <c r="G441" s="62"/>
      <c r="H441" s="99"/>
    </row>
    <row r="442" spans="1:21" ht="15.75" thickBot="1">
      <c r="A442" s="106"/>
      <c r="B442" s="107"/>
      <c r="C442" s="107"/>
      <c r="D442" s="107"/>
      <c r="E442" s="108"/>
      <c r="F442" s="109"/>
      <c r="G442" s="107"/>
      <c r="H442" s="110"/>
    </row>
    <row r="443" spans="1:21" ht="15.75">
      <c r="E443" s="6"/>
      <c r="F443" s="112"/>
      <c r="H443" s="8"/>
      <c r="Q443" s="223"/>
      <c r="U443" s="703"/>
    </row>
  </sheetData>
  <sheetProtection algorithmName="SHA-512" hashValue="qUq29Hoi+DOcdDWwsBhY6PvUnfG78bSNQ+6y8FkJyxQHZMJ6eFg+nqSBjJbodNLNXjJ0VjTIqpYwzfUR77c0xw==" saltValue="7aXrHzP66r9DezeAPgRSQw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C0438-2ACD-4197-83CA-CFFA3837F129}">
  <sheetPr codeName="Hárok7"/>
  <dimension ref="A1:AD431"/>
  <sheetViews>
    <sheetView showGridLines="0" workbookViewId="0">
      <selection activeCell="E138" sqref="E138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3" max="13" width="12.5703125" customWidth="1"/>
    <col min="17" max="17" width="9.85546875" bestFit="1" customWidth="1"/>
    <col min="21" max="21" width="14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 ht="27" customHeight="1">
      <c r="A1" s="2" t="s">
        <v>1</v>
      </c>
      <c r="B1" s="2"/>
      <c r="C1" s="3"/>
      <c r="D1" s="4"/>
      <c r="E1" s="1341" t="s">
        <v>1600</v>
      </c>
      <c r="F1" s="1341"/>
      <c r="G1" s="1341"/>
      <c r="H1" s="1341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31" t="s">
        <v>3</v>
      </c>
      <c r="B3" s="1332"/>
      <c r="C3" s="1332"/>
      <c r="D3" s="13"/>
      <c r="E3" s="1333" t="s">
        <v>4</v>
      </c>
      <c r="F3" s="1334"/>
      <c r="G3" s="1337" t="s">
        <v>5</v>
      </c>
      <c r="H3" s="1339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35"/>
      <c r="F4" s="1336"/>
      <c r="G4" s="1338"/>
      <c r="H4" s="1340"/>
    </row>
    <row r="5" spans="1:24">
      <c r="A5" s="16"/>
      <c r="B5" s="17"/>
      <c r="C5" s="17"/>
      <c r="D5" s="18"/>
      <c r="E5" s="19"/>
      <c r="F5" s="20"/>
      <c r="G5" s="21"/>
      <c r="H5" s="22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I8" s="266"/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  <c r="I9" s="266"/>
    </row>
    <row r="10" spans="1:24">
      <c r="A10" s="268"/>
      <c r="B10" s="24"/>
      <c r="C10" s="25"/>
      <c r="D10" s="26"/>
      <c r="E10" s="316" t="s">
        <v>1121</v>
      </c>
      <c r="F10" s="136"/>
      <c r="G10" s="29"/>
      <c r="H10" s="30"/>
    </row>
    <row r="11" spans="1:24" ht="26.25">
      <c r="A11" s="268"/>
      <c r="B11" s="24"/>
      <c r="C11" s="25"/>
      <c r="D11" s="26"/>
      <c r="E11" s="76" t="s">
        <v>1601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1113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1602</v>
      </c>
      <c r="F13" s="136"/>
      <c r="G13" s="29"/>
      <c r="H13" s="30"/>
      <c r="L13" s="120"/>
      <c r="X13" s="12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1123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907</v>
      </c>
      <c r="F16" s="136"/>
      <c r="G16" s="29"/>
      <c r="H16" s="30"/>
      <c r="L16" s="120"/>
      <c r="X16" s="120"/>
    </row>
    <row r="17" spans="1:30">
      <c r="A17" s="268"/>
      <c r="B17" s="24"/>
      <c r="C17" s="25"/>
      <c r="D17" s="26"/>
      <c r="E17" s="76" t="s">
        <v>1103</v>
      </c>
      <c r="F17" s="136"/>
      <c r="G17" s="29"/>
      <c r="H17" s="30"/>
      <c r="L17" s="120"/>
      <c r="X17" s="120"/>
    </row>
    <row r="18" spans="1:30">
      <c r="A18" s="268"/>
      <c r="B18" s="24"/>
      <c r="C18" s="25"/>
      <c r="D18" s="26"/>
      <c r="E18" s="76" t="s">
        <v>1603</v>
      </c>
      <c r="F18" s="136"/>
      <c r="G18" s="29"/>
      <c r="H18" s="30"/>
      <c r="L18" s="120"/>
      <c r="X18" s="120"/>
    </row>
    <row r="19" spans="1:30">
      <c r="A19" s="268"/>
      <c r="B19" s="24"/>
      <c r="C19" s="25"/>
      <c r="D19" s="26"/>
      <c r="E19" s="76"/>
      <c r="F19" s="136"/>
      <c r="G19" s="29"/>
      <c r="H19" s="30"/>
    </row>
    <row r="20" spans="1:30">
      <c r="A20" s="268"/>
      <c r="B20" s="24"/>
      <c r="C20" s="25"/>
      <c r="D20" s="26"/>
      <c r="E20" s="76" t="s">
        <v>909</v>
      </c>
      <c r="F20" s="136"/>
      <c r="G20" s="29"/>
      <c r="H20" s="30"/>
    </row>
    <row r="21" spans="1:30">
      <c r="A21" s="268"/>
      <c r="B21" s="24"/>
      <c r="C21" s="25"/>
      <c r="D21" s="26"/>
      <c r="E21" s="316" t="s">
        <v>1095</v>
      </c>
      <c r="F21" s="136"/>
      <c r="G21" s="29"/>
      <c r="H21" s="30"/>
      <c r="L21" s="120"/>
      <c r="R21" s="120"/>
      <c r="X21" s="120"/>
      <c r="AD21" s="120"/>
    </row>
    <row r="22" spans="1:30">
      <c r="A22" s="268"/>
      <c r="B22" s="24"/>
      <c r="C22" s="25"/>
      <c r="D22" s="26"/>
      <c r="E22" s="76" t="s">
        <v>910</v>
      </c>
      <c r="F22" s="136"/>
      <c r="G22" s="29"/>
      <c r="H22" s="30"/>
      <c r="L22" s="120"/>
      <c r="R22" s="120"/>
      <c r="X22" s="120"/>
      <c r="AD22" s="120"/>
    </row>
    <row r="23" spans="1:30">
      <c r="A23" s="268"/>
      <c r="B23" s="24"/>
      <c r="C23" s="25"/>
      <c r="D23" s="26"/>
      <c r="E23" s="76" t="s">
        <v>1117</v>
      </c>
      <c r="F23" s="136"/>
      <c r="G23" s="29"/>
      <c r="H23" s="30"/>
      <c r="L23" s="120"/>
      <c r="R23" s="120"/>
      <c r="X23" s="120"/>
      <c r="AD23" s="120"/>
    </row>
    <row r="24" spans="1:30">
      <c r="A24" s="268"/>
      <c r="B24" s="24"/>
      <c r="C24" s="25"/>
      <c r="D24" s="26"/>
      <c r="E24" s="76"/>
      <c r="F24" s="136"/>
      <c r="G24" s="29"/>
      <c r="H24" s="30"/>
    </row>
    <row r="25" spans="1:30">
      <c r="A25" s="268"/>
      <c r="B25" s="24"/>
      <c r="C25" s="25"/>
      <c r="D25" s="26"/>
      <c r="E25" s="316" t="s">
        <v>1604</v>
      </c>
      <c r="F25" s="136"/>
      <c r="G25" s="29"/>
      <c r="H25" s="30"/>
    </row>
    <row r="26" spans="1:30">
      <c r="A26" s="268"/>
      <c r="B26" s="24"/>
      <c r="C26" s="25"/>
      <c r="D26" s="26"/>
      <c r="E26" s="76" t="s">
        <v>910</v>
      </c>
      <c r="F26" s="136"/>
      <c r="G26" s="29"/>
      <c r="H26" s="30"/>
    </row>
    <row r="27" spans="1:30">
      <c r="A27" s="268"/>
      <c r="B27" s="24"/>
      <c r="C27" s="25"/>
      <c r="D27" s="26"/>
      <c r="E27" s="76" t="s">
        <v>1117</v>
      </c>
      <c r="F27" s="136"/>
      <c r="G27" s="29"/>
      <c r="H27" s="30"/>
    </row>
    <row r="28" spans="1:30">
      <c r="A28" s="268"/>
      <c r="B28" s="24"/>
      <c r="C28" s="25"/>
      <c r="D28" s="26"/>
      <c r="E28" s="76"/>
      <c r="F28" s="136"/>
      <c r="G28" s="29"/>
      <c r="H28" s="30"/>
    </row>
    <row r="29" spans="1:30" ht="26.25">
      <c r="A29" s="268"/>
      <c r="B29" s="24"/>
      <c r="C29" s="25"/>
      <c r="D29" s="26"/>
      <c r="E29" s="76" t="s">
        <v>918</v>
      </c>
      <c r="F29" s="136"/>
      <c r="G29" s="29"/>
      <c r="H29" s="30"/>
    </row>
    <row r="30" spans="1:30">
      <c r="A30" s="268"/>
      <c r="B30" s="24"/>
      <c r="C30" s="25"/>
      <c r="D30" s="26"/>
      <c r="E30" s="316" t="s">
        <v>1121</v>
      </c>
      <c r="F30" s="136"/>
      <c r="G30" s="29"/>
      <c r="H30" s="30"/>
    </row>
    <row r="31" spans="1:30" ht="26.25">
      <c r="A31" s="268"/>
      <c r="B31" s="24"/>
      <c r="C31" s="25"/>
      <c r="D31" s="26"/>
      <c r="E31" s="76" t="s">
        <v>1122</v>
      </c>
      <c r="F31" s="136"/>
      <c r="G31" s="29"/>
      <c r="H31" s="30"/>
    </row>
    <row r="32" spans="1:30">
      <c r="A32" s="268"/>
      <c r="B32" s="24"/>
      <c r="C32" s="25"/>
      <c r="D32" s="26"/>
      <c r="E32" s="76"/>
      <c r="F32" s="136"/>
      <c r="G32" s="29"/>
      <c r="H32" s="30"/>
    </row>
    <row r="33" spans="1:18">
      <c r="A33" s="268"/>
      <c r="B33" s="24"/>
      <c r="C33" s="25"/>
      <c r="D33" s="26"/>
      <c r="E33" s="316" t="s">
        <v>1123</v>
      </c>
      <c r="F33" s="136"/>
      <c r="G33" s="29"/>
      <c r="H33" s="30"/>
    </row>
    <row r="34" spans="1:18" ht="26.25">
      <c r="A34" s="268"/>
      <c r="B34" s="24"/>
      <c r="C34" s="25"/>
      <c r="D34" s="26"/>
      <c r="E34" s="76" t="s">
        <v>1122</v>
      </c>
      <c r="F34" s="136"/>
      <c r="G34" s="29"/>
      <c r="H34" s="30"/>
    </row>
    <row r="35" spans="1:18">
      <c r="A35" s="268"/>
      <c r="B35" s="24"/>
      <c r="C35" s="25"/>
      <c r="D35" s="26"/>
      <c r="E35" s="76"/>
      <c r="F35" s="136"/>
      <c r="G35" s="29"/>
      <c r="H35" s="30"/>
    </row>
    <row r="36" spans="1:18" ht="26.25">
      <c r="A36" s="268"/>
      <c r="B36" s="24"/>
      <c r="C36" s="25"/>
      <c r="D36" s="26"/>
      <c r="E36" s="76" t="s">
        <v>1605</v>
      </c>
      <c r="F36" s="136"/>
      <c r="G36" s="29"/>
      <c r="H36" s="30"/>
      <c r="I36" s="266"/>
      <c r="P36" s="266"/>
      <c r="Q36" s="266"/>
      <c r="R36" s="266"/>
    </row>
    <row r="37" spans="1:18">
      <c r="A37" s="268"/>
      <c r="B37" s="24"/>
      <c r="C37" s="25"/>
      <c r="D37" s="26"/>
      <c r="E37" s="76"/>
      <c r="F37" s="136"/>
      <c r="G37" s="29"/>
      <c r="H37" s="30"/>
    </row>
    <row r="38" spans="1:18" ht="25.5">
      <c r="A38" s="34">
        <f>MAX(A$1:A37)+1</f>
        <v>2</v>
      </c>
      <c r="B38" s="24"/>
      <c r="C38" s="36" t="s">
        <v>13</v>
      </c>
      <c r="D38" s="37"/>
      <c r="E38" s="38" t="s">
        <v>14</v>
      </c>
      <c r="F38" s="39"/>
      <c r="G38" s="40" t="s">
        <v>15</v>
      </c>
      <c r="H38" s="1326">
        <v>2270.3200000000002</v>
      </c>
    </row>
    <row r="39" spans="1:18">
      <c r="A39" s="268"/>
      <c r="B39" s="24"/>
      <c r="C39" s="25"/>
      <c r="D39" s="26"/>
      <c r="E39" s="76"/>
      <c r="F39" s="1325">
        <f>F131</f>
        <v>2270.3232199999998</v>
      </c>
      <c r="G39" s="29"/>
      <c r="H39" s="30"/>
    </row>
    <row r="40" spans="1:18">
      <c r="A40" s="268"/>
      <c r="B40" s="24"/>
      <c r="C40" s="25"/>
      <c r="D40" s="26"/>
      <c r="E40" s="76"/>
      <c r="F40" s="136"/>
      <c r="G40" s="29"/>
      <c r="H40" s="30"/>
    </row>
    <row r="41" spans="1:18">
      <c r="A41" s="34">
        <f>MAX(A$1:A40)+1</f>
        <v>3</v>
      </c>
      <c r="B41" s="24"/>
      <c r="C41" s="36" t="s">
        <v>228</v>
      </c>
      <c r="D41" s="37"/>
      <c r="E41" s="38" t="s">
        <v>229</v>
      </c>
      <c r="F41" s="39"/>
      <c r="G41" s="40" t="s">
        <v>18</v>
      </c>
      <c r="H41" s="128">
        <v>444.88</v>
      </c>
    </row>
    <row r="42" spans="1:18">
      <c r="A42" s="268"/>
      <c r="B42" s="24"/>
      <c r="C42" s="25"/>
      <c r="D42" s="26"/>
      <c r="E42" s="76"/>
      <c r="F42" s="136">
        <f>F195</f>
        <v>444.88</v>
      </c>
      <c r="G42" s="29"/>
      <c r="H42" s="30"/>
    </row>
    <row r="43" spans="1:18">
      <c r="A43" s="145"/>
      <c r="B43" s="31"/>
      <c r="C43" s="36"/>
      <c r="D43" s="37"/>
      <c r="E43" s="38"/>
      <c r="F43" s="46"/>
      <c r="G43" s="40"/>
      <c r="H43" s="30"/>
    </row>
    <row r="44" spans="1:18" ht="25.5">
      <c r="A44" s="34">
        <f>MAX(A$1:A43)+1</f>
        <v>4</v>
      </c>
      <c r="B44" s="35"/>
      <c r="C44" s="36" t="s">
        <v>16</v>
      </c>
      <c r="D44" s="37"/>
      <c r="E44" s="38" t="s">
        <v>17</v>
      </c>
      <c r="F44" s="39"/>
      <c r="G44" s="40" t="s">
        <v>18</v>
      </c>
      <c r="H44" s="128">
        <v>78.5</v>
      </c>
    </row>
    <row r="45" spans="1:18">
      <c r="A45" s="34"/>
      <c r="B45" s="35"/>
      <c r="C45" s="36"/>
      <c r="D45" s="37"/>
      <c r="E45" s="65" t="s">
        <v>852</v>
      </c>
      <c r="F45" s="90">
        <f>F163</f>
        <v>78.5</v>
      </c>
      <c r="G45" s="40"/>
      <c r="H45" s="30"/>
    </row>
    <row r="46" spans="1:18">
      <c r="A46" s="145"/>
      <c r="B46" s="35"/>
      <c r="C46" s="36"/>
      <c r="D46" s="37"/>
      <c r="E46" s="65"/>
      <c r="F46" s="90"/>
      <c r="G46" s="40"/>
      <c r="H46" s="30"/>
    </row>
    <row r="47" spans="1:18" ht="15.75">
      <c r="A47" s="145"/>
      <c r="B47" s="24" t="s">
        <v>19</v>
      </c>
      <c r="C47" s="48"/>
      <c r="D47" s="49"/>
      <c r="E47" s="50" t="s">
        <v>20</v>
      </c>
      <c r="F47" s="90"/>
      <c r="G47" s="40"/>
      <c r="H47" s="30"/>
    </row>
    <row r="48" spans="1:18" ht="15.75">
      <c r="A48" s="145"/>
      <c r="B48" s="24"/>
      <c r="C48" s="48"/>
      <c r="D48" s="49"/>
      <c r="E48" s="50"/>
      <c r="F48" s="90"/>
      <c r="G48" s="40"/>
      <c r="H48" s="30"/>
    </row>
    <row r="49" spans="1:11" ht="25.5">
      <c r="A49" s="34">
        <f>MAX(A$1:A48)+1</f>
        <v>5</v>
      </c>
      <c r="B49" s="24"/>
      <c r="C49" s="36" t="s">
        <v>22</v>
      </c>
      <c r="D49" s="37"/>
      <c r="E49" s="38" t="s">
        <v>23</v>
      </c>
      <c r="F49" s="39"/>
      <c r="G49" s="40" t="s">
        <v>21</v>
      </c>
      <c r="H49" s="128">
        <v>87</v>
      </c>
    </row>
    <row r="50" spans="1:11" ht="28.5" customHeight="1">
      <c r="A50" s="145"/>
      <c r="B50" s="24"/>
      <c r="C50" s="66"/>
      <c r="D50" s="67" t="s">
        <v>24</v>
      </c>
      <c r="E50" s="71" t="s">
        <v>25</v>
      </c>
      <c r="F50" s="61"/>
      <c r="G50" s="62" t="s">
        <v>21</v>
      </c>
      <c r="H50" s="124">
        <v>87</v>
      </c>
    </row>
    <row r="51" spans="1:11">
      <c r="A51" s="145"/>
      <c r="B51" s="24"/>
      <c r="C51" s="66"/>
      <c r="D51" s="67"/>
      <c r="E51" s="65" t="s">
        <v>1606</v>
      </c>
      <c r="F51" s="46">
        <v>35</v>
      </c>
      <c r="G51" s="62"/>
      <c r="H51" s="30"/>
    </row>
    <row r="52" spans="1:11" ht="25.5">
      <c r="A52" s="145"/>
      <c r="B52" s="24"/>
      <c r="C52" s="66"/>
      <c r="D52" s="67"/>
      <c r="E52" s="65" t="s">
        <v>1607</v>
      </c>
      <c r="F52" s="46">
        <v>22</v>
      </c>
      <c r="G52" s="62"/>
      <c r="H52" s="30"/>
    </row>
    <row r="53" spans="1:11">
      <c r="A53" s="145"/>
      <c r="B53" s="24"/>
      <c r="C53" s="66"/>
      <c r="D53" s="67"/>
      <c r="E53" s="65" t="s">
        <v>1608</v>
      </c>
      <c r="F53" s="69">
        <v>30</v>
      </c>
      <c r="G53" s="62"/>
      <c r="H53" s="30"/>
    </row>
    <row r="54" spans="1:11">
      <c r="A54" s="145"/>
      <c r="B54" s="24"/>
      <c r="C54" s="66"/>
      <c r="D54" s="67"/>
      <c r="E54" s="65"/>
      <c r="F54" s="46">
        <f>SUM(F51:F53)</f>
        <v>87</v>
      </c>
      <c r="G54" s="62"/>
      <c r="H54" s="30"/>
      <c r="K54" s="120"/>
    </row>
    <row r="55" spans="1:11" ht="15.75">
      <c r="A55" s="145"/>
      <c r="B55" s="24"/>
      <c r="C55" s="48"/>
      <c r="D55" s="49"/>
      <c r="E55" s="50"/>
      <c r="F55" s="90"/>
      <c r="G55" s="40"/>
      <c r="H55" s="30"/>
    </row>
    <row r="56" spans="1:11" ht="25.5">
      <c r="A56" s="34">
        <f>MAX(A$1:A55)+1</f>
        <v>6</v>
      </c>
      <c r="B56" s="24"/>
      <c r="C56" s="36" t="s">
        <v>119</v>
      </c>
      <c r="D56" s="37"/>
      <c r="E56" s="38" t="s">
        <v>120</v>
      </c>
      <c r="F56" s="39"/>
      <c r="G56" s="40" t="s">
        <v>21</v>
      </c>
      <c r="H56" s="128">
        <v>463.19</v>
      </c>
    </row>
    <row r="57" spans="1:11" ht="25.5">
      <c r="A57" s="145"/>
      <c r="B57" s="24"/>
      <c r="C57" s="66"/>
      <c r="D57" s="67" t="s">
        <v>121</v>
      </c>
      <c r="E57" s="71" t="s">
        <v>122</v>
      </c>
      <c r="F57" s="61"/>
      <c r="G57" s="62" t="s">
        <v>21</v>
      </c>
      <c r="H57" s="124">
        <v>463.19</v>
      </c>
    </row>
    <row r="58" spans="1:11" ht="25.5">
      <c r="A58" s="145"/>
      <c r="B58" s="24"/>
      <c r="C58" s="48"/>
      <c r="D58" s="49"/>
      <c r="E58" s="65" t="s">
        <v>1142</v>
      </c>
      <c r="F58" s="90">
        <v>463.19</v>
      </c>
      <c r="G58" s="40"/>
      <c r="H58" s="30"/>
    </row>
    <row r="59" spans="1:11" ht="15.75">
      <c r="A59" s="145"/>
      <c r="B59" s="24"/>
      <c r="C59" s="48"/>
      <c r="D59" s="49"/>
      <c r="E59" s="50"/>
      <c r="F59" s="90"/>
      <c r="G59" s="40"/>
      <c r="H59" s="30"/>
    </row>
    <row r="60" spans="1:11" ht="25.5">
      <c r="A60" s="34">
        <f>MAX(A$1:A59)+1</f>
        <v>7</v>
      </c>
      <c r="B60" s="35"/>
      <c r="C60" s="36" t="s">
        <v>26</v>
      </c>
      <c r="D60" s="37"/>
      <c r="E60" s="38" t="s">
        <v>27</v>
      </c>
      <c r="F60" s="39"/>
      <c r="G60" s="40" t="s">
        <v>21</v>
      </c>
      <c r="H60" s="128">
        <v>124.47</v>
      </c>
    </row>
    <row r="61" spans="1:11" ht="25.5">
      <c r="A61" s="145"/>
      <c r="B61" s="35"/>
      <c r="C61" s="36"/>
      <c r="D61" s="67" t="s">
        <v>453</v>
      </c>
      <c r="E61" s="71" t="s">
        <v>454</v>
      </c>
      <c r="F61" s="61"/>
      <c r="G61" s="62" t="s">
        <v>21</v>
      </c>
      <c r="H61" s="124">
        <v>124.47</v>
      </c>
    </row>
    <row r="62" spans="1:11" ht="25.5">
      <c r="A62" s="145"/>
      <c r="B62" s="35"/>
      <c r="C62" s="36"/>
      <c r="D62" s="37"/>
      <c r="E62" s="65" t="s">
        <v>923</v>
      </c>
      <c r="F62" s="46">
        <v>37.590000000000003</v>
      </c>
      <c r="G62" s="40"/>
      <c r="H62" s="128"/>
    </row>
    <row r="63" spans="1:11" ht="26.25">
      <c r="A63" s="145"/>
      <c r="B63" s="35"/>
      <c r="C63" s="36"/>
      <c r="D63" s="37"/>
      <c r="E63" s="68" t="s">
        <v>1609</v>
      </c>
      <c r="F63" s="46">
        <v>7.5</v>
      </c>
      <c r="G63" s="40"/>
      <c r="H63" s="128"/>
    </row>
    <row r="64" spans="1:11" ht="32.25" customHeight="1">
      <c r="A64" s="145"/>
      <c r="B64" s="35"/>
      <c r="C64" s="36"/>
      <c r="D64" s="37"/>
      <c r="E64" s="68" t="s">
        <v>1610</v>
      </c>
      <c r="F64" s="69">
        <f>0.2*396.9</f>
        <v>79.38</v>
      </c>
      <c r="G64" s="40"/>
      <c r="H64" s="128"/>
    </row>
    <row r="65" spans="1:11">
      <c r="A65" s="145"/>
      <c r="B65" s="35"/>
      <c r="C65" s="36"/>
      <c r="D65" s="37"/>
      <c r="E65" s="65"/>
      <c r="F65" s="46">
        <f>SUM(F62:F64)</f>
        <v>124.47</v>
      </c>
      <c r="G65" s="40"/>
      <c r="H65" s="128"/>
    </row>
    <row r="66" spans="1:11">
      <c r="A66" s="145"/>
      <c r="B66" s="35"/>
      <c r="C66" s="36"/>
      <c r="D66" s="37"/>
      <c r="E66" s="65"/>
      <c r="F66" s="90"/>
      <c r="G66" s="40"/>
      <c r="H66" s="30"/>
    </row>
    <row r="67" spans="1:11" ht="25.5">
      <c r="A67" s="34">
        <f>MAX(A$1:A66)+1</f>
        <v>8</v>
      </c>
      <c r="B67" s="35"/>
      <c r="C67" s="36" t="s">
        <v>28</v>
      </c>
      <c r="D67" s="37"/>
      <c r="E67" s="38" t="s">
        <v>29</v>
      </c>
      <c r="F67" s="39"/>
      <c r="G67" s="40" t="s">
        <v>21</v>
      </c>
      <c r="H67" s="128">
        <v>1553.93</v>
      </c>
    </row>
    <row r="68" spans="1:11" ht="25.5">
      <c r="A68" s="145"/>
      <c r="B68" s="35"/>
      <c r="C68" s="36"/>
      <c r="D68" s="67" t="s">
        <v>30</v>
      </c>
      <c r="E68" s="71" t="s">
        <v>31</v>
      </c>
      <c r="F68" s="61"/>
      <c r="G68" s="62" t="s">
        <v>21</v>
      </c>
      <c r="H68" s="124">
        <v>500.78</v>
      </c>
    </row>
    <row r="69" spans="1:11">
      <c r="A69" s="145"/>
      <c r="B69" s="35"/>
      <c r="C69" s="36"/>
      <c r="D69" s="37"/>
      <c r="E69" s="65" t="s">
        <v>926</v>
      </c>
      <c r="F69" s="46">
        <v>500.78</v>
      </c>
      <c r="G69" s="40"/>
      <c r="H69" s="124"/>
    </row>
    <row r="70" spans="1:11" ht="38.25">
      <c r="A70" s="145"/>
      <c r="B70" s="35"/>
      <c r="C70" s="66"/>
      <c r="D70" s="67" t="s">
        <v>276</v>
      </c>
      <c r="E70" s="71" t="s">
        <v>277</v>
      </c>
      <c r="F70" s="61"/>
      <c r="G70" s="62" t="s">
        <v>21</v>
      </c>
      <c r="H70" s="124">
        <v>1053.1500000000001</v>
      </c>
    </row>
    <row r="71" spans="1:11" ht="25.5">
      <c r="A71" s="145"/>
      <c r="B71" s="35"/>
      <c r="C71" s="66"/>
      <c r="D71" s="67"/>
      <c r="E71" s="65" t="s">
        <v>927</v>
      </c>
      <c r="F71" s="90">
        <v>1053.1500000000001</v>
      </c>
      <c r="G71" s="62"/>
      <c r="H71" s="30"/>
      <c r="K71" s="120"/>
    </row>
    <row r="72" spans="1:11">
      <c r="A72" s="145"/>
      <c r="B72" s="35"/>
      <c r="C72" s="36"/>
      <c r="D72" s="37"/>
      <c r="E72" s="65"/>
      <c r="F72" s="90"/>
      <c r="G72" s="40"/>
      <c r="H72" s="30"/>
    </row>
    <row r="73" spans="1:11" ht="25.5">
      <c r="A73" s="34">
        <f>MAX(A$1:A72)+1</f>
        <v>9</v>
      </c>
      <c r="B73" s="35"/>
      <c r="C73" s="36" t="s">
        <v>125</v>
      </c>
      <c r="D73" s="37"/>
      <c r="E73" s="38" t="s">
        <v>126</v>
      </c>
      <c r="F73" s="39"/>
      <c r="G73" s="40" t="s">
        <v>21</v>
      </c>
      <c r="H73" s="128">
        <v>2290.0500000000002</v>
      </c>
    </row>
    <row r="74" spans="1:11" ht="25.5">
      <c r="A74" s="145"/>
      <c r="B74" s="35"/>
      <c r="C74" s="66"/>
      <c r="D74" s="67" t="s">
        <v>278</v>
      </c>
      <c r="E74" s="71" t="s">
        <v>279</v>
      </c>
      <c r="F74" s="61"/>
      <c r="G74" s="62" t="s">
        <v>21</v>
      </c>
      <c r="H74" s="124">
        <v>2290.0500000000002</v>
      </c>
    </row>
    <row r="75" spans="1:11">
      <c r="A75" s="145"/>
      <c r="B75" s="35"/>
      <c r="C75" s="36"/>
      <c r="D75" s="37"/>
      <c r="E75" s="65" t="s">
        <v>1611</v>
      </c>
      <c r="F75" s="90">
        <v>1205.4000000000001</v>
      </c>
      <c r="G75" s="40"/>
      <c r="H75" s="30"/>
    </row>
    <row r="76" spans="1:11">
      <c r="A76" s="145"/>
      <c r="B76" s="35"/>
      <c r="C76" s="36"/>
      <c r="D76" s="37"/>
      <c r="E76" s="65" t="s">
        <v>1612</v>
      </c>
      <c r="F76" s="138">
        <v>1084.6500000000001</v>
      </c>
      <c r="G76" s="40"/>
      <c r="H76" s="30"/>
    </row>
    <row r="77" spans="1:11">
      <c r="A77" s="145"/>
      <c r="B77" s="35"/>
      <c r="C77" s="36"/>
      <c r="D77" s="37"/>
      <c r="E77" s="65"/>
      <c r="F77" s="90">
        <f>SUM(F75:F76)</f>
        <v>2290.0500000000002</v>
      </c>
      <c r="G77" s="40"/>
      <c r="H77" s="30"/>
    </row>
    <row r="78" spans="1:11">
      <c r="A78" s="145"/>
      <c r="B78" s="35"/>
      <c r="C78" s="36"/>
      <c r="D78" s="37"/>
      <c r="E78" s="65"/>
      <c r="F78" s="90"/>
      <c r="G78" s="40"/>
      <c r="H78" s="30"/>
    </row>
    <row r="79" spans="1:11" ht="38.25">
      <c r="A79" s="34">
        <f>MAX(A$1:A78)+1</f>
        <v>10</v>
      </c>
      <c r="B79" s="35"/>
      <c r="C79" s="36" t="s">
        <v>133</v>
      </c>
      <c r="D79" s="37"/>
      <c r="E79" s="38" t="s">
        <v>134</v>
      </c>
      <c r="F79" s="39"/>
      <c r="G79" s="40" t="s">
        <v>21</v>
      </c>
      <c r="H79" s="128">
        <v>2246.12</v>
      </c>
    </row>
    <row r="80" spans="1:11" ht="38.25">
      <c r="A80" s="145"/>
      <c r="B80" s="35"/>
      <c r="C80" s="36"/>
      <c r="D80" s="67" t="s">
        <v>468</v>
      </c>
      <c r="E80" s="71" t="s">
        <v>469</v>
      </c>
      <c r="F80" s="61"/>
      <c r="G80" s="62" t="s">
        <v>21</v>
      </c>
      <c r="H80" s="124">
        <v>37.590000000000003</v>
      </c>
    </row>
    <row r="81" spans="1:11" ht="25.5">
      <c r="A81" s="145"/>
      <c r="B81" s="35"/>
      <c r="C81" s="36"/>
      <c r="D81" s="37"/>
      <c r="E81" s="65" t="s">
        <v>929</v>
      </c>
      <c r="F81" s="46">
        <v>37.590000000000003</v>
      </c>
      <c r="G81" s="40"/>
      <c r="H81" s="128"/>
    </row>
    <row r="82" spans="1:11" ht="38.25">
      <c r="A82" s="145"/>
      <c r="B82" s="35"/>
      <c r="C82" s="36"/>
      <c r="D82" s="67" t="s">
        <v>230</v>
      </c>
      <c r="E82" s="71" t="s">
        <v>231</v>
      </c>
      <c r="F82" s="61"/>
      <c r="G82" s="62" t="s">
        <v>21</v>
      </c>
      <c r="H82" s="124">
        <v>1120.3800000000001</v>
      </c>
    </row>
    <row r="83" spans="1:11" ht="25.5">
      <c r="A83" s="145"/>
      <c r="B83" s="35"/>
      <c r="C83" s="36"/>
      <c r="D83" s="37"/>
      <c r="E83" s="65" t="s">
        <v>1397</v>
      </c>
      <c r="F83" s="90">
        <v>560.38</v>
      </c>
      <c r="G83" s="40"/>
      <c r="H83" s="30"/>
    </row>
    <row r="84" spans="1:11" ht="18.75" customHeight="1">
      <c r="A84" s="145"/>
      <c r="B84" s="35"/>
      <c r="C84" s="36"/>
      <c r="D84" s="37"/>
      <c r="E84" s="68" t="s">
        <v>1613</v>
      </c>
      <c r="F84" s="138">
        <v>560</v>
      </c>
      <c r="G84" s="40"/>
      <c r="H84" s="30"/>
    </row>
    <row r="85" spans="1:11">
      <c r="A85" s="145"/>
      <c r="B85" s="35"/>
      <c r="C85" s="36"/>
      <c r="D85" s="37"/>
      <c r="E85" s="65"/>
      <c r="F85" s="90">
        <f>SUM(F83:F84)</f>
        <v>1120.3800000000001</v>
      </c>
      <c r="G85" s="40"/>
      <c r="H85" s="30"/>
    </row>
    <row r="86" spans="1:11" ht="38.25">
      <c r="A86" s="145"/>
      <c r="B86" s="35"/>
      <c r="C86" s="36"/>
      <c r="D86" s="67" t="s">
        <v>135</v>
      </c>
      <c r="E86" s="71" t="s">
        <v>136</v>
      </c>
      <c r="F86" s="61"/>
      <c r="G86" s="62" t="s">
        <v>21</v>
      </c>
      <c r="H86" s="124">
        <v>1088.1500000000001</v>
      </c>
    </row>
    <row r="87" spans="1:11" ht="25.5">
      <c r="A87" s="145"/>
      <c r="B87" s="35"/>
      <c r="C87" s="36"/>
      <c r="D87" s="37"/>
      <c r="E87" s="65" t="s">
        <v>1614</v>
      </c>
      <c r="F87" s="90">
        <v>1088.1500000000001</v>
      </c>
      <c r="G87" s="40"/>
      <c r="H87" s="30"/>
    </row>
    <row r="88" spans="1:11">
      <c r="A88" s="145"/>
      <c r="B88" s="35"/>
      <c r="C88" s="36"/>
      <c r="D88" s="37"/>
      <c r="E88" s="65"/>
      <c r="F88" s="90"/>
      <c r="G88" s="40"/>
      <c r="H88" s="30"/>
      <c r="K88" s="120"/>
    </row>
    <row r="89" spans="1:11">
      <c r="A89" s="145"/>
      <c r="B89" s="35"/>
      <c r="C89" s="36"/>
      <c r="D89" s="37"/>
      <c r="E89" s="65"/>
      <c r="F89" s="90"/>
      <c r="G89" s="40"/>
      <c r="H89" s="30"/>
    </row>
    <row r="90" spans="1:11" ht="38.25">
      <c r="A90" s="34">
        <f>MAX(A$1:A89)+1</f>
        <v>11</v>
      </c>
      <c r="B90" s="35"/>
      <c r="C90" s="36" t="s">
        <v>799</v>
      </c>
      <c r="D90" s="37"/>
      <c r="E90" s="38" t="s">
        <v>800</v>
      </c>
      <c r="F90" s="39"/>
      <c r="G90" s="40" t="s">
        <v>36</v>
      </c>
      <c r="H90" s="128">
        <v>439.88</v>
      </c>
    </row>
    <row r="91" spans="1:11" ht="25.5">
      <c r="A91" s="145"/>
      <c r="B91" s="35"/>
      <c r="C91" s="36"/>
      <c r="D91" s="67" t="s">
        <v>801</v>
      </c>
      <c r="E91" s="71" t="s">
        <v>802</v>
      </c>
      <c r="F91" s="61"/>
      <c r="G91" s="62" t="s">
        <v>36</v>
      </c>
      <c r="H91" s="124">
        <v>439.88</v>
      </c>
    </row>
    <row r="92" spans="1:11" ht="25.5">
      <c r="A92" s="145"/>
      <c r="B92" s="35"/>
      <c r="C92" s="36"/>
      <c r="D92" s="37"/>
      <c r="E92" s="65" t="s">
        <v>1615</v>
      </c>
      <c r="F92" s="90">
        <v>439.88</v>
      </c>
      <c r="G92" s="40"/>
      <c r="H92" s="30"/>
    </row>
    <row r="93" spans="1:11">
      <c r="A93" s="145"/>
      <c r="B93" s="35"/>
      <c r="C93" s="36"/>
      <c r="D93" s="37"/>
      <c r="E93" s="65"/>
      <c r="F93" s="90"/>
      <c r="G93" s="40"/>
      <c r="H93" s="30"/>
    </row>
    <row r="94" spans="1:11" ht="38.25">
      <c r="A94" s="34">
        <f>MAX(A$1:A93)+1</f>
        <v>12</v>
      </c>
      <c r="B94" s="35"/>
      <c r="C94" s="36" t="s">
        <v>455</v>
      </c>
      <c r="D94" s="37"/>
      <c r="E94" s="38" t="s">
        <v>456</v>
      </c>
      <c r="F94" s="39"/>
      <c r="G94" s="40" t="s">
        <v>36</v>
      </c>
      <c r="H94" s="128">
        <v>374.53999999999996</v>
      </c>
      <c r="I94" s="689"/>
    </row>
    <row r="95" spans="1:11" ht="25.5">
      <c r="A95" s="145"/>
      <c r="B95" s="35"/>
      <c r="C95" s="66"/>
      <c r="D95" s="67" t="s">
        <v>933</v>
      </c>
      <c r="E95" s="71" t="s">
        <v>934</v>
      </c>
      <c r="F95" s="61"/>
      <c r="G95" s="62" t="s">
        <v>36</v>
      </c>
      <c r="H95" s="124">
        <v>140.54</v>
      </c>
    </row>
    <row r="96" spans="1:11" ht="25.5">
      <c r="A96" s="145"/>
      <c r="B96" s="35"/>
      <c r="C96" s="66"/>
      <c r="D96" s="67"/>
      <c r="E96" s="65" t="s">
        <v>935</v>
      </c>
      <c r="F96" s="46">
        <v>140.54</v>
      </c>
      <c r="G96" s="62"/>
      <c r="H96" s="30"/>
    </row>
    <row r="97" spans="1:9" ht="25.5">
      <c r="A97" s="145"/>
      <c r="B97" s="35"/>
      <c r="C97" s="66"/>
      <c r="D97" s="67" t="s">
        <v>560</v>
      </c>
      <c r="E97" s="71" t="s">
        <v>803</v>
      </c>
      <c r="F97" s="61"/>
      <c r="G97" s="62" t="s">
        <v>36</v>
      </c>
      <c r="H97" s="124">
        <v>234</v>
      </c>
    </row>
    <row r="98" spans="1:9" ht="25.5">
      <c r="A98" s="145"/>
      <c r="B98" s="35"/>
      <c r="C98" s="36"/>
      <c r="D98" s="37"/>
      <c r="E98" s="65" t="s">
        <v>936</v>
      </c>
      <c r="F98" s="90">
        <v>234</v>
      </c>
      <c r="G98" s="40"/>
      <c r="H98" s="30"/>
    </row>
    <row r="99" spans="1:9">
      <c r="A99" s="145"/>
      <c r="B99" s="35"/>
      <c r="C99" s="36"/>
      <c r="D99" s="37"/>
      <c r="E99" s="65"/>
      <c r="F99" s="90"/>
      <c r="G99" s="40"/>
      <c r="H99" s="30"/>
    </row>
    <row r="100" spans="1:9" ht="38.25">
      <c r="A100" s="34">
        <f>MAX(A$1:A99)+1</f>
        <v>13</v>
      </c>
      <c r="B100" s="35"/>
      <c r="C100" s="36" t="s">
        <v>32</v>
      </c>
      <c r="D100" s="37"/>
      <c r="E100" s="38" t="s">
        <v>232</v>
      </c>
      <c r="F100" s="39"/>
      <c r="G100" s="40" t="s">
        <v>33</v>
      </c>
      <c r="H100" s="128">
        <v>22</v>
      </c>
    </row>
    <row r="101" spans="1:9" ht="25.5">
      <c r="A101" s="145"/>
      <c r="B101" s="35"/>
      <c r="C101" s="36"/>
      <c r="D101" s="37"/>
      <c r="E101" s="65" t="s">
        <v>937</v>
      </c>
      <c r="F101" s="90">
        <v>22</v>
      </c>
      <c r="G101" s="40"/>
      <c r="H101" s="30"/>
    </row>
    <row r="102" spans="1:9">
      <c r="A102" s="145"/>
      <c r="B102" s="35"/>
      <c r="C102" s="36"/>
      <c r="D102" s="37"/>
      <c r="E102" s="65"/>
      <c r="F102" s="90"/>
      <c r="G102" s="40"/>
      <c r="H102" s="30"/>
    </row>
    <row r="103" spans="1:9">
      <c r="A103" s="34">
        <f>MAX(A$1:A102)+1</f>
        <v>14</v>
      </c>
      <c r="B103" s="35"/>
      <c r="C103" s="36" t="s">
        <v>37</v>
      </c>
      <c r="D103" s="37"/>
      <c r="E103" s="38" t="s">
        <v>38</v>
      </c>
      <c r="F103" s="39"/>
      <c r="G103" s="40" t="s">
        <v>15</v>
      </c>
      <c r="H103" s="1326">
        <v>2410.86</v>
      </c>
      <c r="I103" s="689"/>
    </row>
    <row r="104" spans="1:9">
      <c r="A104" s="145"/>
      <c r="B104" s="35"/>
      <c r="C104" s="36"/>
      <c r="D104" s="67" t="s">
        <v>507</v>
      </c>
      <c r="E104" s="71" t="s">
        <v>508</v>
      </c>
      <c r="F104" s="61"/>
      <c r="G104" s="62" t="s">
        <v>15</v>
      </c>
      <c r="H104" s="124">
        <v>2.1599999999999997</v>
      </c>
    </row>
    <row r="105" spans="1:9">
      <c r="A105" s="145"/>
      <c r="B105" s="35"/>
      <c r="C105" s="36"/>
      <c r="D105" s="37"/>
      <c r="E105" s="84" t="s">
        <v>1616</v>
      </c>
      <c r="F105" s="39"/>
      <c r="G105" s="40"/>
      <c r="H105" s="128"/>
    </row>
    <row r="106" spans="1:9" ht="26.25">
      <c r="A106" s="145"/>
      <c r="B106" s="35"/>
      <c r="C106" s="36"/>
      <c r="D106" s="37"/>
      <c r="E106" s="68" t="s">
        <v>1617</v>
      </c>
      <c r="F106" s="46">
        <f>F63*0.288</f>
        <v>2.1599999999999997</v>
      </c>
      <c r="G106" s="40"/>
      <c r="H106" s="128"/>
      <c r="I106" s="208"/>
    </row>
    <row r="107" spans="1:9">
      <c r="A107" s="145"/>
      <c r="B107" s="35"/>
      <c r="C107" s="36"/>
      <c r="D107" s="67" t="s">
        <v>39</v>
      </c>
      <c r="E107" s="71" t="s">
        <v>40</v>
      </c>
      <c r="F107" s="61"/>
      <c r="G107" s="62" t="s">
        <v>15</v>
      </c>
      <c r="H107" s="1327">
        <v>2408.6999999999998</v>
      </c>
    </row>
    <row r="108" spans="1:9">
      <c r="A108" s="145"/>
      <c r="B108" s="35"/>
      <c r="C108" s="36"/>
      <c r="D108" s="67"/>
      <c r="E108" s="84" t="s">
        <v>1521</v>
      </c>
      <c r="F108" s="61"/>
      <c r="G108" s="62"/>
      <c r="H108" s="124"/>
    </row>
    <row r="109" spans="1:9" ht="25.5">
      <c r="A109" s="145"/>
      <c r="B109" s="35"/>
      <c r="C109" s="36"/>
      <c r="D109" s="67"/>
      <c r="E109" s="65" t="s">
        <v>1618</v>
      </c>
      <c r="F109" s="46">
        <f>F81*0.13</f>
        <v>4.8867000000000003</v>
      </c>
      <c r="G109" s="62"/>
      <c r="H109" s="124"/>
    </row>
    <row r="110" spans="1:9" ht="38.25">
      <c r="A110" s="145"/>
      <c r="B110" s="35"/>
      <c r="C110" s="36"/>
      <c r="D110" s="67"/>
      <c r="E110" s="65" t="s">
        <v>1619</v>
      </c>
      <c r="F110" s="138">
        <f>F83*0.235</f>
        <v>131.6893</v>
      </c>
      <c r="G110" s="62"/>
      <c r="H110" s="124"/>
    </row>
    <row r="111" spans="1:9">
      <c r="A111" s="145"/>
      <c r="B111" s="35"/>
      <c r="C111" s="36"/>
      <c r="D111" s="67"/>
      <c r="E111" s="71"/>
      <c r="F111" s="46">
        <f>SUM(F109:F110)</f>
        <v>136.57599999999999</v>
      </c>
      <c r="G111" s="62"/>
      <c r="H111" s="124"/>
    </row>
    <row r="112" spans="1:9">
      <c r="A112" s="145"/>
      <c r="B112" s="35"/>
      <c r="C112" s="36"/>
      <c r="D112" s="67"/>
      <c r="E112" s="71"/>
      <c r="F112" s="61"/>
      <c r="G112" s="62"/>
      <c r="H112" s="124"/>
    </row>
    <row r="113" spans="1:9">
      <c r="A113" s="145"/>
      <c r="B113" s="35"/>
      <c r="C113" s="36"/>
      <c r="D113" s="67"/>
      <c r="E113" s="84" t="s">
        <v>71</v>
      </c>
      <c r="F113" s="61"/>
      <c r="G113" s="62"/>
      <c r="H113" s="30"/>
    </row>
    <row r="114" spans="1:9" ht="25.5">
      <c r="A114" s="145"/>
      <c r="B114" s="35"/>
      <c r="C114" s="36"/>
      <c r="D114" s="67"/>
      <c r="E114" s="65" t="s">
        <v>1620</v>
      </c>
      <c r="F114" s="46">
        <f>F51*0.44</f>
        <v>15.4</v>
      </c>
      <c r="G114" s="62"/>
      <c r="H114" s="30"/>
      <c r="I114" s="208"/>
    </row>
    <row r="115" spans="1:9" ht="25.5">
      <c r="A115" s="145"/>
      <c r="B115" s="35"/>
      <c r="C115" s="36"/>
      <c r="D115" s="67"/>
      <c r="E115" s="65" t="s">
        <v>1621</v>
      </c>
      <c r="F115" s="46">
        <f>F52*0.44</f>
        <v>9.68</v>
      </c>
      <c r="G115" s="62"/>
      <c r="H115" s="30"/>
      <c r="I115" s="208"/>
    </row>
    <row r="116" spans="1:9">
      <c r="A116" s="145"/>
      <c r="B116" s="35"/>
      <c r="C116" s="36"/>
      <c r="D116" s="67"/>
      <c r="E116" s="65" t="s">
        <v>1622</v>
      </c>
      <c r="F116" s="46">
        <f>F53*0.44</f>
        <v>13.2</v>
      </c>
      <c r="G116" s="62"/>
      <c r="H116" s="30"/>
      <c r="I116" s="208"/>
    </row>
    <row r="117" spans="1:9" ht="25.5">
      <c r="A117" s="145"/>
      <c r="B117" s="35"/>
      <c r="C117" s="36"/>
      <c r="D117" s="67"/>
      <c r="E117" s="65" t="s">
        <v>1623</v>
      </c>
      <c r="F117" s="90">
        <f>F58*0.181</f>
        <v>83.837389999999999</v>
      </c>
      <c r="G117" s="62"/>
      <c r="H117" s="30"/>
      <c r="I117" s="208"/>
    </row>
    <row r="118" spans="1:9" ht="25.5">
      <c r="A118" s="145"/>
      <c r="B118" s="35"/>
      <c r="C118" s="36"/>
      <c r="D118" s="67"/>
      <c r="E118" s="65" t="s">
        <v>1624</v>
      </c>
      <c r="F118" s="46">
        <f>F62*0.288</f>
        <v>10.82592</v>
      </c>
      <c r="G118" s="62"/>
      <c r="H118" s="30"/>
      <c r="I118" s="208"/>
    </row>
    <row r="119" spans="1:9" ht="38.25">
      <c r="A119" s="145"/>
      <c r="B119" s="35"/>
      <c r="C119" s="36"/>
      <c r="D119" s="67"/>
      <c r="E119" s="65" t="s">
        <v>1625</v>
      </c>
      <c r="F119" s="46">
        <f>F64*0.397</f>
        <v>31.513860000000001</v>
      </c>
      <c r="G119" s="62"/>
      <c r="H119" s="30"/>
      <c r="I119" s="208"/>
    </row>
    <row r="120" spans="1:9" ht="25.5">
      <c r="A120" s="145"/>
      <c r="B120" s="35"/>
      <c r="C120" s="36"/>
      <c r="D120" s="67"/>
      <c r="E120" s="65" t="s">
        <v>1626</v>
      </c>
      <c r="F120" s="46">
        <f>F69*0.22</f>
        <v>110.1716</v>
      </c>
      <c r="G120" s="62"/>
      <c r="H120" s="30"/>
      <c r="I120" s="208"/>
    </row>
    <row r="121" spans="1:9" ht="25.5">
      <c r="A121" s="145"/>
      <c r="B121" s="35"/>
      <c r="C121" s="36"/>
      <c r="D121" s="67"/>
      <c r="E121" s="65" t="s">
        <v>1627</v>
      </c>
      <c r="F121" s="90">
        <f>F71*0.44</f>
        <v>463.38600000000002</v>
      </c>
      <c r="G121" s="62"/>
      <c r="H121" s="30"/>
      <c r="I121" s="208"/>
    </row>
    <row r="122" spans="1:9" ht="25.5">
      <c r="A122" s="145"/>
      <c r="B122" s="35"/>
      <c r="C122" s="36"/>
      <c r="D122" s="67"/>
      <c r="E122" s="65" t="s">
        <v>1628</v>
      </c>
      <c r="F122" s="90">
        <f>F75*0.181</f>
        <v>218.17740000000001</v>
      </c>
      <c r="G122" s="62"/>
      <c r="H122" s="30"/>
      <c r="I122" s="208"/>
    </row>
    <row r="123" spans="1:9" ht="25.5">
      <c r="A123" s="145"/>
      <c r="B123" s="35"/>
      <c r="C123" s="36"/>
      <c r="D123" s="67"/>
      <c r="E123" s="65" t="s">
        <v>1629</v>
      </c>
      <c r="F123" s="90">
        <f>F76*0.181</f>
        <v>196.32165000000001</v>
      </c>
      <c r="G123" s="62"/>
      <c r="H123" s="30"/>
      <c r="I123" s="208"/>
    </row>
    <row r="124" spans="1:9" ht="25.5">
      <c r="A124" s="145"/>
      <c r="B124" s="35"/>
      <c r="C124" s="36"/>
      <c r="D124" s="67"/>
      <c r="E124" s="65" t="s">
        <v>1630</v>
      </c>
      <c r="F124" s="90">
        <f>F84*0.235</f>
        <v>131.6</v>
      </c>
      <c r="G124" s="62"/>
      <c r="H124" s="30"/>
      <c r="I124" s="208"/>
    </row>
    <row r="125" spans="1:9" ht="25.5">
      <c r="A125" s="145"/>
      <c r="B125" s="35"/>
      <c r="C125" s="36"/>
      <c r="D125" s="67"/>
      <c r="E125" s="65" t="s">
        <v>1631</v>
      </c>
      <c r="F125" s="90">
        <f>F87*0.4</f>
        <v>435.26000000000005</v>
      </c>
      <c r="G125" s="62"/>
      <c r="H125" s="30"/>
      <c r="I125" s="208"/>
    </row>
    <row r="126" spans="1:9" ht="25.5">
      <c r="A126" s="145"/>
      <c r="B126" s="35"/>
      <c r="C126" s="36"/>
      <c r="D126" s="67"/>
      <c r="E126" s="65" t="s">
        <v>1632</v>
      </c>
      <c r="F126" s="90">
        <f>F92*0.24</f>
        <v>105.57119999999999</v>
      </c>
      <c r="G126" s="62"/>
      <c r="H126" s="30"/>
      <c r="I126" s="208"/>
    </row>
    <row r="127" spans="1:9" ht="25.5">
      <c r="A127" s="145"/>
      <c r="B127" s="35"/>
      <c r="C127" s="36"/>
      <c r="D127" s="67"/>
      <c r="E127" s="65" t="s">
        <v>1633</v>
      </c>
      <c r="F127" s="46">
        <f>F96*0.23</f>
        <v>32.324199999999998</v>
      </c>
      <c r="G127" s="62"/>
      <c r="H127" s="30"/>
      <c r="I127" s="208"/>
    </row>
    <row r="128" spans="1:9" ht="25.5">
      <c r="A128" s="145"/>
      <c r="B128" s="35"/>
      <c r="C128" s="36"/>
      <c r="D128" s="67"/>
      <c r="E128" s="65" t="s">
        <v>1634</v>
      </c>
      <c r="F128" s="90">
        <f>F98*0.04</f>
        <v>9.36</v>
      </c>
      <c r="G128" s="62"/>
      <c r="H128" s="30"/>
      <c r="I128" s="208"/>
    </row>
    <row r="129" spans="1:21" ht="26.25">
      <c r="A129" s="145"/>
      <c r="B129" s="35"/>
      <c r="C129" s="36"/>
      <c r="D129" s="67"/>
      <c r="E129" s="68" t="s">
        <v>1635</v>
      </c>
      <c r="F129" s="90">
        <f>F139*0.102</f>
        <v>403.61399999999998</v>
      </c>
      <c r="G129" s="62"/>
      <c r="H129" s="30"/>
      <c r="I129" s="208"/>
    </row>
    <row r="130" spans="1:21" ht="39">
      <c r="A130" s="145"/>
      <c r="B130" s="35"/>
      <c r="C130" s="36"/>
      <c r="D130" s="67"/>
      <c r="E130" s="1320" t="s">
        <v>3192</v>
      </c>
      <c r="F130" s="1324">
        <f>F143*0.004</f>
        <v>0.08</v>
      </c>
      <c r="G130" s="62"/>
      <c r="H130" s="30"/>
      <c r="I130" s="208"/>
    </row>
    <row r="131" spans="1:21">
      <c r="A131" s="145"/>
      <c r="B131" s="35"/>
      <c r="C131" s="36"/>
      <c r="D131" s="67"/>
      <c r="E131" s="68"/>
      <c r="F131" s="1321">
        <f>SUM(F114:F130)</f>
        <v>2270.3232199999998</v>
      </c>
      <c r="G131" s="62"/>
      <c r="H131" s="30"/>
    </row>
    <row r="132" spans="1:21">
      <c r="A132" s="145"/>
      <c r="B132" s="35"/>
      <c r="C132" s="36"/>
      <c r="D132" s="67"/>
      <c r="E132" s="65"/>
      <c r="F132" s="90"/>
      <c r="G132" s="62"/>
      <c r="H132" s="30"/>
    </row>
    <row r="133" spans="1:21">
      <c r="A133" s="145"/>
      <c r="B133" s="35"/>
      <c r="C133" s="36"/>
      <c r="D133" s="67"/>
      <c r="E133" s="84" t="s">
        <v>142</v>
      </c>
      <c r="F133" s="90"/>
      <c r="G133" s="62"/>
      <c r="H133" s="30"/>
    </row>
    <row r="134" spans="1:21" ht="25.5">
      <c r="A134" s="145"/>
      <c r="B134" s="35"/>
      <c r="C134" s="36"/>
      <c r="D134" s="67"/>
      <c r="E134" s="65" t="s">
        <v>1636</v>
      </c>
      <c r="F134" s="90">
        <f>F101*0.082</f>
        <v>1.804</v>
      </c>
      <c r="G134" s="62"/>
      <c r="H134" s="30"/>
      <c r="I134" s="208"/>
    </row>
    <row r="135" spans="1:21">
      <c r="A135" s="145"/>
      <c r="B135" s="35"/>
      <c r="C135" s="36"/>
      <c r="D135" s="67"/>
      <c r="E135" s="91" t="s">
        <v>41</v>
      </c>
      <c r="F135" s="1328">
        <f>F111+F131+F134</f>
        <v>2408.7032199999999</v>
      </c>
      <c r="G135" s="62"/>
      <c r="H135" s="30"/>
    </row>
    <row r="136" spans="1:21">
      <c r="A136" s="145"/>
      <c r="B136" s="35"/>
      <c r="C136" s="36"/>
      <c r="D136" s="67"/>
      <c r="E136" s="65"/>
      <c r="F136" s="90"/>
      <c r="G136" s="62"/>
      <c r="H136" s="30"/>
    </row>
    <row r="137" spans="1:21" ht="25.5">
      <c r="A137" s="34">
        <f>MAX(A$1:A136)+1</f>
        <v>15</v>
      </c>
      <c r="B137" s="35"/>
      <c r="C137" s="36" t="s">
        <v>42</v>
      </c>
      <c r="D137" s="37"/>
      <c r="E137" s="38" t="s">
        <v>43</v>
      </c>
      <c r="F137" s="39"/>
      <c r="G137" s="40" t="s">
        <v>21</v>
      </c>
      <c r="H137" s="128">
        <v>3957</v>
      </c>
    </row>
    <row r="138" spans="1:21" ht="25.5">
      <c r="A138" s="145"/>
      <c r="B138" s="35"/>
      <c r="C138" s="36"/>
      <c r="D138" s="67" t="s">
        <v>349</v>
      </c>
      <c r="E138" s="71" t="s">
        <v>350</v>
      </c>
      <c r="F138" s="61"/>
      <c r="G138" s="62" t="s">
        <v>21</v>
      </c>
      <c r="H138" s="124">
        <v>3957</v>
      </c>
    </row>
    <row r="139" spans="1:21" ht="18.75" customHeight="1">
      <c r="A139" s="145"/>
      <c r="B139" s="35"/>
      <c r="C139" s="36"/>
      <c r="D139" s="37"/>
      <c r="E139" s="68" t="s">
        <v>1637</v>
      </c>
      <c r="F139" s="90">
        <v>3957</v>
      </c>
      <c r="G139" s="40"/>
      <c r="H139" s="30"/>
    </row>
    <row r="140" spans="1:21" ht="18.75" customHeight="1">
      <c r="A140" s="145"/>
      <c r="B140" s="35"/>
      <c r="C140" s="36"/>
      <c r="D140" s="37"/>
      <c r="E140" s="68"/>
      <c r="F140" s="90"/>
      <c r="G140" s="40"/>
      <c r="H140" s="30"/>
    </row>
    <row r="141" spans="1:21" ht="25.5">
      <c r="A141" s="1319">
        <f>MAX(A$1:A140)+1</f>
        <v>16</v>
      </c>
      <c r="B141" s="73"/>
      <c r="C141" s="1310" t="s">
        <v>3178</v>
      </c>
      <c r="D141" s="1311"/>
      <c r="E141" s="1312" t="s">
        <v>3179</v>
      </c>
      <c r="F141" s="303"/>
      <c r="G141" s="1313" t="s">
        <v>21</v>
      </c>
      <c r="H141" s="1322">
        <v>20</v>
      </c>
    </row>
    <row r="142" spans="1:21" ht="25.5">
      <c r="A142" s="72"/>
      <c r="B142" s="73"/>
      <c r="C142" s="1314"/>
      <c r="D142" s="1315" t="s">
        <v>3188</v>
      </c>
      <c r="E142" s="1316" t="s">
        <v>3189</v>
      </c>
      <c r="F142" s="1317"/>
      <c r="G142" s="1318" t="s">
        <v>21</v>
      </c>
      <c r="H142" s="1323">
        <v>20</v>
      </c>
    </row>
    <row r="143" spans="1:21" ht="26.25">
      <c r="A143" s="145"/>
      <c r="B143" s="35"/>
      <c r="C143" s="36"/>
      <c r="D143" s="37"/>
      <c r="E143" s="1320" t="s">
        <v>3185</v>
      </c>
      <c r="F143" s="1321">
        <v>20</v>
      </c>
      <c r="G143" s="40"/>
      <c r="H143" s="30"/>
      <c r="I143" s="208"/>
      <c r="K143" s="120"/>
      <c r="U143" s="208"/>
    </row>
    <row r="144" spans="1:21" ht="18.75" customHeight="1">
      <c r="A144" s="145"/>
      <c r="B144" s="35"/>
      <c r="C144" s="36"/>
      <c r="D144" s="37"/>
      <c r="E144" s="68"/>
      <c r="F144" s="90"/>
      <c r="G144" s="40"/>
      <c r="H144" s="30"/>
    </row>
    <row r="145" spans="1:9" ht="25.5">
      <c r="A145" s="34">
        <f>MAX(A$1:A144)+1</f>
        <v>17</v>
      </c>
      <c r="B145" s="35"/>
      <c r="C145" s="36" t="s">
        <v>233</v>
      </c>
      <c r="D145" s="37"/>
      <c r="E145" s="38" t="s">
        <v>234</v>
      </c>
      <c r="F145" s="39"/>
      <c r="G145" s="40" t="s">
        <v>36</v>
      </c>
      <c r="H145" s="128">
        <v>3129.83</v>
      </c>
      <c r="I145" s="689"/>
    </row>
    <row r="146" spans="1:9" ht="25.5">
      <c r="A146" s="145"/>
      <c r="B146" s="35"/>
      <c r="C146" s="36"/>
      <c r="D146" s="67" t="s">
        <v>235</v>
      </c>
      <c r="E146" s="71" t="s">
        <v>236</v>
      </c>
      <c r="F146" s="61"/>
      <c r="G146" s="62" t="s">
        <v>36</v>
      </c>
      <c r="H146" s="124">
        <v>1766.4</v>
      </c>
    </row>
    <row r="147" spans="1:9">
      <c r="A147" s="145"/>
      <c r="B147" s="35"/>
      <c r="C147" s="36"/>
      <c r="D147" s="37"/>
      <c r="E147" s="68" t="s">
        <v>1638</v>
      </c>
      <c r="F147" s="90">
        <v>806.4</v>
      </c>
      <c r="G147" s="40"/>
      <c r="H147" s="30"/>
    </row>
    <row r="148" spans="1:9">
      <c r="A148" s="145"/>
      <c r="B148" s="35"/>
      <c r="C148" s="36"/>
      <c r="D148" s="37"/>
      <c r="E148" s="68" t="s">
        <v>1639</v>
      </c>
      <c r="F148" s="138">
        <v>960</v>
      </c>
      <c r="G148" s="40"/>
      <c r="H148" s="30"/>
    </row>
    <row r="149" spans="1:9">
      <c r="A149" s="145"/>
      <c r="B149" s="35"/>
      <c r="C149" s="36"/>
      <c r="D149" s="37"/>
      <c r="E149" s="68"/>
      <c r="F149" s="90">
        <f>SUM(F147:F148)</f>
        <v>1766.4</v>
      </c>
      <c r="G149" s="40"/>
      <c r="H149" s="30"/>
    </row>
    <row r="150" spans="1:9" ht="25.5">
      <c r="A150" s="145"/>
      <c r="B150" s="35"/>
      <c r="C150" s="36"/>
      <c r="D150" s="67" t="s">
        <v>449</v>
      </c>
      <c r="E150" s="71" t="s">
        <v>450</v>
      </c>
      <c r="F150" s="61"/>
      <c r="G150" s="62" t="s">
        <v>36</v>
      </c>
      <c r="H150" s="124">
        <v>1363.4299999999998</v>
      </c>
    </row>
    <row r="151" spans="1:9">
      <c r="A151" s="145"/>
      <c r="B151" s="35"/>
      <c r="C151" s="36"/>
      <c r="D151" s="37"/>
      <c r="E151" s="68" t="s">
        <v>1640</v>
      </c>
      <c r="F151" s="90">
        <v>806.4</v>
      </c>
      <c r="G151" s="40"/>
      <c r="H151" s="30"/>
    </row>
    <row r="152" spans="1:9">
      <c r="A152" s="145"/>
      <c r="B152" s="35"/>
      <c r="C152" s="36"/>
      <c r="D152" s="37"/>
      <c r="E152" s="68" t="s">
        <v>1641</v>
      </c>
      <c r="F152" s="138">
        <v>557.03</v>
      </c>
      <c r="G152" s="40"/>
      <c r="H152" s="30"/>
    </row>
    <row r="153" spans="1:9">
      <c r="A153" s="145"/>
      <c r="B153" s="35"/>
      <c r="C153" s="36"/>
      <c r="D153" s="37"/>
      <c r="E153" s="68"/>
      <c r="F153" s="90">
        <f>SUM(F151:F152)</f>
        <v>1363.4299999999998</v>
      </c>
      <c r="G153" s="40"/>
      <c r="H153" s="30"/>
    </row>
    <row r="154" spans="1:9">
      <c r="A154" s="145"/>
      <c r="B154" s="35"/>
      <c r="C154" s="36"/>
      <c r="D154" s="37"/>
      <c r="E154" s="68"/>
      <c r="F154" s="90"/>
      <c r="G154" s="40"/>
      <c r="H154" s="30"/>
    </row>
    <row r="155" spans="1:9">
      <c r="A155" s="145"/>
      <c r="B155" s="35" t="s">
        <v>44</v>
      </c>
      <c r="C155" s="93"/>
      <c r="D155" s="94"/>
      <c r="E155" s="96" t="s">
        <v>45</v>
      </c>
      <c r="F155" s="46"/>
      <c r="G155" s="40"/>
      <c r="H155" s="30"/>
    </row>
    <row r="156" spans="1:9">
      <c r="A156" s="145"/>
      <c r="B156" s="31"/>
      <c r="C156" s="36"/>
      <c r="D156" s="37"/>
      <c r="E156" s="38"/>
      <c r="F156" s="46"/>
      <c r="G156" s="40"/>
      <c r="H156" s="30"/>
    </row>
    <row r="157" spans="1:9">
      <c r="A157" s="34">
        <f>MAX(A$1:A156)+1</f>
        <v>18</v>
      </c>
      <c r="B157" s="31"/>
      <c r="C157" s="36" t="s">
        <v>284</v>
      </c>
      <c r="D157" s="37"/>
      <c r="E157" s="38" t="s">
        <v>285</v>
      </c>
      <c r="F157" s="39"/>
      <c r="G157" s="40" t="s">
        <v>21</v>
      </c>
      <c r="H157" s="128">
        <v>785</v>
      </c>
    </row>
    <row r="158" spans="1:9">
      <c r="A158" s="145"/>
      <c r="B158" s="31"/>
      <c r="C158" s="66"/>
      <c r="D158" s="67" t="s">
        <v>286</v>
      </c>
      <c r="E158" s="71" t="s">
        <v>287</v>
      </c>
      <c r="F158" s="61"/>
      <c r="G158" s="62" t="s">
        <v>21</v>
      </c>
      <c r="H158" s="124">
        <v>785</v>
      </c>
    </row>
    <row r="159" spans="1:9">
      <c r="A159" s="145"/>
      <c r="B159" s="31"/>
      <c r="C159" s="66"/>
      <c r="D159" s="67"/>
      <c r="E159" s="65" t="s">
        <v>970</v>
      </c>
      <c r="F159" s="90">
        <v>785</v>
      </c>
      <c r="G159" s="62"/>
      <c r="H159" s="30"/>
    </row>
    <row r="160" spans="1:9">
      <c r="A160" s="145"/>
      <c r="B160" s="31"/>
      <c r="C160" s="66"/>
      <c r="D160" s="67"/>
      <c r="E160" s="71"/>
      <c r="F160" s="61"/>
      <c r="G160" s="62"/>
      <c r="H160" s="30"/>
    </row>
    <row r="161" spans="1:8">
      <c r="A161" s="34">
        <f>MAX(A$1:A160)+1</f>
        <v>19</v>
      </c>
      <c r="B161" s="89"/>
      <c r="C161" s="36" t="s">
        <v>50</v>
      </c>
      <c r="D161" s="37"/>
      <c r="E161" s="38" t="s">
        <v>51</v>
      </c>
      <c r="F161" s="39"/>
      <c r="G161" s="40" t="s">
        <v>18</v>
      </c>
      <c r="H161" s="128">
        <v>78.5</v>
      </c>
    </row>
    <row r="162" spans="1:8" ht="25.5">
      <c r="A162" s="145"/>
      <c r="B162" s="31"/>
      <c r="C162" s="66"/>
      <c r="D162" s="67" t="s">
        <v>288</v>
      </c>
      <c r="E162" s="71" t="s">
        <v>289</v>
      </c>
      <c r="F162" s="61"/>
      <c r="G162" s="62" t="s">
        <v>18</v>
      </c>
      <c r="H162" s="124">
        <v>78.5</v>
      </c>
    </row>
    <row r="163" spans="1:8" ht="25.5">
      <c r="A163" s="145"/>
      <c r="B163" s="31"/>
      <c r="C163" s="66"/>
      <c r="D163" s="67"/>
      <c r="E163" s="86" t="s">
        <v>1642</v>
      </c>
      <c r="F163" s="46">
        <f>F159*0.1</f>
        <v>78.5</v>
      </c>
      <c r="G163" s="62"/>
      <c r="H163" s="30"/>
    </row>
    <row r="164" spans="1:8">
      <c r="A164" s="145"/>
      <c r="B164" s="31"/>
      <c r="C164" s="66"/>
      <c r="D164" s="67"/>
      <c r="E164" s="71"/>
      <c r="F164" s="61"/>
      <c r="G164" s="62"/>
      <c r="H164" s="30"/>
    </row>
    <row r="165" spans="1:8">
      <c r="A165" s="145"/>
      <c r="B165" s="35" t="s">
        <v>87</v>
      </c>
      <c r="C165" s="93"/>
      <c r="D165" s="94"/>
      <c r="E165" s="50" t="s">
        <v>88</v>
      </c>
      <c r="F165" s="81"/>
      <c r="G165" s="62"/>
      <c r="H165" s="30"/>
    </row>
    <row r="166" spans="1:8">
      <c r="A166" s="34"/>
      <c r="B166" s="256"/>
      <c r="C166" s="79"/>
      <c r="D166" s="67"/>
      <c r="E166" s="91"/>
      <c r="F166" s="81"/>
      <c r="G166" s="62"/>
      <c r="H166" s="30"/>
    </row>
    <row r="167" spans="1:8">
      <c r="A167" s="34">
        <f>MAX(A$1:A166)+1</f>
        <v>20</v>
      </c>
      <c r="B167" s="256"/>
      <c r="C167" s="36" t="s">
        <v>62</v>
      </c>
      <c r="D167" s="37"/>
      <c r="E167" s="38" t="s">
        <v>63</v>
      </c>
      <c r="F167" s="39"/>
      <c r="G167" s="40" t="s">
        <v>18</v>
      </c>
      <c r="H167" s="128">
        <v>73.8</v>
      </c>
    </row>
    <row r="168" spans="1:8" ht="25.5">
      <c r="A168" s="34"/>
      <c r="B168" s="256"/>
      <c r="C168" s="66"/>
      <c r="D168" s="67" t="s">
        <v>64</v>
      </c>
      <c r="E168" s="71" t="s">
        <v>89</v>
      </c>
      <c r="F168" s="61"/>
      <c r="G168" s="62" t="s">
        <v>18</v>
      </c>
      <c r="H168" s="124">
        <v>73.8</v>
      </c>
    </row>
    <row r="169" spans="1:8">
      <c r="A169" s="34"/>
      <c r="B169" s="256"/>
      <c r="C169" s="66"/>
      <c r="D169" s="67"/>
      <c r="E169" s="65" t="s">
        <v>972</v>
      </c>
      <c r="F169" s="46">
        <f>0.15*492</f>
        <v>73.8</v>
      </c>
      <c r="G169" s="62"/>
      <c r="H169" s="30"/>
    </row>
    <row r="170" spans="1:8">
      <c r="A170" s="34"/>
      <c r="B170" s="256"/>
      <c r="C170" s="66"/>
      <c r="D170" s="67"/>
      <c r="E170" s="71"/>
      <c r="F170" s="61"/>
      <c r="G170" s="62"/>
      <c r="H170" s="30"/>
    </row>
    <row r="171" spans="1:8">
      <c r="A171" s="34">
        <f>MAX(A$1:A170)+1</f>
        <v>21</v>
      </c>
      <c r="B171" s="31"/>
      <c r="C171" s="36" t="s">
        <v>83</v>
      </c>
      <c r="D171" s="37"/>
      <c r="E171" s="38" t="s">
        <v>84</v>
      </c>
      <c r="F171" s="39"/>
      <c r="G171" s="40" t="s">
        <v>18</v>
      </c>
      <c r="H171" s="128">
        <v>73.8</v>
      </c>
    </row>
    <row r="172" spans="1:8" ht="25.5">
      <c r="A172" s="268"/>
      <c r="B172" s="31"/>
      <c r="C172" s="66"/>
      <c r="D172" s="67" t="s">
        <v>85</v>
      </c>
      <c r="E172" s="71" t="s">
        <v>86</v>
      </c>
      <c r="F172" s="61"/>
      <c r="G172" s="62" t="s">
        <v>18</v>
      </c>
      <c r="H172" s="124">
        <v>73.8</v>
      </c>
    </row>
    <row r="173" spans="1:8">
      <c r="A173" s="268"/>
      <c r="B173" s="31"/>
      <c r="C173" s="66"/>
      <c r="D173" s="67"/>
      <c r="E173" s="65" t="s">
        <v>623</v>
      </c>
      <c r="F173" s="46">
        <f>F169</f>
        <v>73.8</v>
      </c>
      <c r="G173" s="62"/>
      <c r="H173" s="30"/>
    </row>
    <row r="174" spans="1:8">
      <c r="A174" s="268"/>
      <c r="B174" s="31"/>
      <c r="C174" s="66"/>
      <c r="D174" s="67"/>
      <c r="E174" s="65"/>
      <c r="F174" s="68"/>
      <c r="G174" s="62"/>
      <c r="H174" s="30"/>
    </row>
    <row r="175" spans="1:8" ht="25.5">
      <c r="A175" s="34">
        <f>MAX(A$1:A174)+1</f>
        <v>22</v>
      </c>
      <c r="B175" s="31"/>
      <c r="C175" s="36" t="s">
        <v>90</v>
      </c>
      <c r="D175" s="37"/>
      <c r="E175" s="38" t="s">
        <v>91</v>
      </c>
      <c r="F175" s="39"/>
      <c r="G175" s="40" t="s">
        <v>21</v>
      </c>
      <c r="H175" s="128">
        <v>492</v>
      </c>
    </row>
    <row r="176" spans="1:8" ht="25.5">
      <c r="A176" s="268"/>
      <c r="B176" s="31"/>
      <c r="C176" s="66"/>
      <c r="D176" s="67" t="s">
        <v>92</v>
      </c>
      <c r="E176" s="71" t="s">
        <v>93</v>
      </c>
      <c r="F176" s="61"/>
      <c r="G176" s="62" t="s">
        <v>21</v>
      </c>
      <c r="H176" s="124">
        <v>492</v>
      </c>
    </row>
    <row r="177" spans="1:17">
      <c r="A177" s="268"/>
      <c r="B177" s="31"/>
      <c r="C177" s="66"/>
      <c r="D177" s="67"/>
      <c r="E177" s="65" t="s">
        <v>973</v>
      </c>
      <c r="F177" s="90">
        <f>F169/0.15</f>
        <v>492</v>
      </c>
      <c r="G177" s="62"/>
      <c r="H177" s="30"/>
    </row>
    <row r="178" spans="1:17">
      <c r="A178" s="268"/>
      <c r="B178" s="31"/>
      <c r="C178" s="66"/>
      <c r="D178" s="67"/>
      <c r="E178" s="65"/>
      <c r="F178" s="90"/>
      <c r="G178" s="62"/>
      <c r="H178" s="30"/>
    </row>
    <row r="179" spans="1:17" ht="25.5">
      <c r="A179" s="34">
        <f>MAX(A$1:A178)+1</f>
        <v>23</v>
      </c>
      <c r="B179" s="31"/>
      <c r="C179" s="36" t="s">
        <v>140</v>
      </c>
      <c r="D179" s="37"/>
      <c r="E179" s="38" t="s">
        <v>141</v>
      </c>
      <c r="F179" s="39"/>
      <c r="G179" s="40" t="s">
        <v>21</v>
      </c>
      <c r="H179" s="128">
        <v>492</v>
      </c>
    </row>
    <row r="180" spans="1:17" ht="25.5">
      <c r="A180" s="268"/>
      <c r="B180" s="31"/>
      <c r="C180" s="66"/>
      <c r="D180" s="67" t="s">
        <v>974</v>
      </c>
      <c r="E180" s="71" t="s">
        <v>975</v>
      </c>
      <c r="F180" s="61"/>
      <c r="G180" s="62" t="s">
        <v>21</v>
      </c>
      <c r="H180" s="124">
        <v>492</v>
      </c>
    </row>
    <row r="181" spans="1:17">
      <c r="A181" s="268"/>
      <c r="B181" s="31"/>
      <c r="C181" s="66"/>
      <c r="D181" s="67"/>
      <c r="E181" s="65" t="s">
        <v>1643</v>
      </c>
      <c r="F181" s="90">
        <f>F177</f>
        <v>492</v>
      </c>
      <c r="G181" s="62"/>
      <c r="H181" s="30"/>
    </row>
    <row r="182" spans="1:17">
      <c r="A182" s="268"/>
      <c r="B182" s="31"/>
      <c r="C182" s="66"/>
      <c r="D182" s="67"/>
      <c r="E182" s="65"/>
      <c r="F182" s="90"/>
      <c r="G182" s="62"/>
      <c r="H182" s="30"/>
    </row>
    <row r="183" spans="1:17" ht="25.5">
      <c r="A183" s="34">
        <f>MAX(A$1:A182)+1</f>
        <v>24</v>
      </c>
      <c r="B183" s="31"/>
      <c r="C183" s="36" t="s">
        <v>98</v>
      </c>
      <c r="D183" s="37"/>
      <c r="E183" s="38" t="s">
        <v>99</v>
      </c>
      <c r="F183" s="277"/>
      <c r="G183" s="40" t="s">
        <v>21</v>
      </c>
      <c r="H183" s="128">
        <v>492</v>
      </c>
    </row>
    <row r="184" spans="1:17" ht="25.5">
      <c r="A184" s="268"/>
      <c r="B184" s="31"/>
      <c r="C184" s="66"/>
      <c r="D184" s="67" t="s">
        <v>100</v>
      </c>
      <c r="E184" s="71" t="s">
        <v>101</v>
      </c>
      <c r="F184" s="275"/>
      <c r="G184" s="62" t="s">
        <v>21</v>
      </c>
      <c r="H184" s="124">
        <v>492</v>
      </c>
    </row>
    <row r="185" spans="1:17">
      <c r="A185" s="268"/>
      <c r="B185" s="31"/>
      <c r="C185" s="66"/>
      <c r="D185" s="67"/>
      <c r="E185" s="65" t="s">
        <v>102</v>
      </c>
      <c r="F185" s="90">
        <f>F181</f>
        <v>492</v>
      </c>
      <c r="G185" s="62"/>
      <c r="H185" s="30"/>
    </row>
    <row r="186" spans="1:17">
      <c r="A186" s="268"/>
      <c r="B186" s="31"/>
      <c r="C186" s="66"/>
      <c r="D186" s="67"/>
      <c r="E186" s="65"/>
      <c r="F186" s="68"/>
      <c r="G186" s="62"/>
      <c r="H186" s="30"/>
    </row>
    <row r="187" spans="1:17" s="98" customFormat="1">
      <c r="A187" s="95"/>
      <c r="B187" s="35" t="s">
        <v>54</v>
      </c>
      <c r="C187" s="93"/>
      <c r="D187" s="94"/>
      <c r="E187" s="50" t="s">
        <v>55</v>
      </c>
      <c r="F187" s="100"/>
      <c r="G187" s="101"/>
      <c r="H187" s="42"/>
      <c r="I187"/>
      <c r="J187"/>
      <c r="K187"/>
      <c r="L187"/>
      <c r="Q187"/>
    </row>
    <row r="188" spans="1:17" s="98" customFormat="1">
      <c r="A188" s="95"/>
      <c r="B188" s="35"/>
      <c r="C188" s="93"/>
      <c r="D188" s="94"/>
      <c r="E188" s="50"/>
      <c r="F188" s="100"/>
      <c r="G188" s="101"/>
      <c r="H188" s="42"/>
      <c r="I188"/>
      <c r="J188"/>
      <c r="K188"/>
      <c r="L188"/>
      <c r="Q188"/>
    </row>
    <row r="189" spans="1:17" s="98" customFormat="1">
      <c r="A189" s="34">
        <f>MAX(A$1:A188)+1</f>
        <v>25</v>
      </c>
      <c r="B189" s="35"/>
      <c r="C189" s="36" t="s">
        <v>150</v>
      </c>
      <c r="D189" s="66"/>
      <c r="E189" s="38" t="s">
        <v>151</v>
      </c>
      <c r="F189" s="39"/>
      <c r="G189" s="40" t="s">
        <v>18</v>
      </c>
      <c r="H189" s="52">
        <v>75.45</v>
      </c>
      <c r="I189"/>
      <c r="J189"/>
      <c r="K189"/>
      <c r="L189"/>
      <c r="Q189"/>
    </row>
    <row r="190" spans="1:17" s="98" customFormat="1" ht="25.5">
      <c r="A190" s="95"/>
      <c r="B190" s="35"/>
      <c r="C190" s="37"/>
      <c r="D190" s="67" t="s">
        <v>152</v>
      </c>
      <c r="E190" s="71" t="s">
        <v>153</v>
      </c>
      <c r="F190" s="61"/>
      <c r="G190" s="62" t="s">
        <v>18</v>
      </c>
      <c r="H190" s="99">
        <v>75.45</v>
      </c>
      <c r="I190"/>
      <c r="J190"/>
      <c r="K190"/>
      <c r="L190"/>
      <c r="Q190"/>
    </row>
    <row r="191" spans="1:17" s="98" customFormat="1">
      <c r="A191" s="95"/>
      <c r="B191" s="35"/>
      <c r="C191" s="93"/>
      <c r="D191" s="94"/>
      <c r="E191" s="65" t="s">
        <v>1644</v>
      </c>
      <c r="F191" s="212">
        <f>503*0.15</f>
        <v>75.45</v>
      </c>
      <c r="G191" s="101"/>
      <c r="H191" s="42"/>
      <c r="I191"/>
      <c r="J191"/>
      <c r="K191"/>
      <c r="L191"/>
      <c r="Q191"/>
    </row>
    <row r="192" spans="1:17" s="98" customFormat="1">
      <c r="A192" s="95"/>
      <c r="B192" s="35"/>
      <c r="C192" s="93"/>
      <c r="D192" s="94"/>
      <c r="E192" s="65"/>
      <c r="F192" s="212"/>
      <c r="G192" s="101"/>
      <c r="H192" s="42"/>
      <c r="I192"/>
      <c r="J192"/>
      <c r="K192"/>
      <c r="L192"/>
      <c r="Q192"/>
    </row>
    <row r="193" spans="1:17" s="98" customFormat="1">
      <c r="A193" s="34">
        <f>MAX(A$1:A192)+1</f>
        <v>26</v>
      </c>
      <c r="B193" s="35"/>
      <c r="C193" s="36" t="s">
        <v>237</v>
      </c>
      <c r="D193" s="66"/>
      <c r="E193" s="38" t="s">
        <v>238</v>
      </c>
      <c r="F193" s="39"/>
      <c r="G193" s="40" t="s">
        <v>18</v>
      </c>
      <c r="H193" s="52">
        <v>444.88</v>
      </c>
      <c r="I193"/>
      <c r="J193"/>
      <c r="K193"/>
      <c r="L193"/>
      <c r="Q193"/>
    </row>
    <row r="194" spans="1:17" s="98" customFormat="1" ht="25.5">
      <c r="A194" s="95"/>
      <c r="B194" s="35"/>
      <c r="C194" s="93"/>
      <c r="D194" s="66" t="s">
        <v>239</v>
      </c>
      <c r="E194" s="71" t="s">
        <v>240</v>
      </c>
      <c r="F194" s="61"/>
      <c r="G194" s="62" t="s">
        <v>18</v>
      </c>
      <c r="H194" s="99">
        <v>444.88</v>
      </c>
      <c r="I194"/>
      <c r="J194"/>
      <c r="K194"/>
      <c r="L194"/>
      <c r="Q194"/>
    </row>
    <row r="195" spans="1:17" s="98" customFormat="1" ht="25.5">
      <c r="A195" s="95"/>
      <c r="B195" s="35"/>
      <c r="C195" s="93"/>
      <c r="D195" s="94"/>
      <c r="E195" s="65" t="s">
        <v>1220</v>
      </c>
      <c r="F195" s="212">
        <v>444.88</v>
      </c>
      <c r="G195" s="101"/>
      <c r="H195" s="42"/>
      <c r="I195"/>
      <c r="J195"/>
      <c r="K195"/>
      <c r="L195"/>
      <c r="Q195"/>
    </row>
    <row r="196" spans="1:17" s="98" customFormat="1">
      <c r="A196" s="95"/>
      <c r="B196" s="35"/>
      <c r="C196" s="93"/>
      <c r="D196" s="94"/>
      <c r="E196" s="65"/>
      <c r="F196" s="212"/>
      <c r="G196" s="101"/>
      <c r="H196" s="42"/>
      <c r="I196"/>
      <c r="J196"/>
      <c r="K196"/>
      <c r="L196"/>
      <c r="Q196"/>
    </row>
    <row r="197" spans="1:17" s="98" customFormat="1">
      <c r="A197" s="34">
        <f>MAX(A$1:A196)+1</f>
        <v>27</v>
      </c>
      <c r="B197" s="35"/>
      <c r="C197" s="36" t="s">
        <v>245</v>
      </c>
      <c r="D197" s="37"/>
      <c r="E197" s="38" t="s">
        <v>246</v>
      </c>
      <c r="F197" s="39"/>
      <c r="G197" s="40" t="s">
        <v>18</v>
      </c>
      <c r="H197" s="52">
        <v>20</v>
      </c>
      <c r="I197"/>
      <c r="J197"/>
      <c r="K197"/>
      <c r="L197"/>
      <c r="Q197"/>
    </row>
    <row r="198" spans="1:17" s="98" customFormat="1" ht="25.5">
      <c r="A198" s="95"/>
      <c r="B198" s="35"/>
      <c r="C198" s="93"/>
      <c r="D198" s="67" t="s">
        <v>247</v>
      </c>
      <c r="E198" s="71" t="s">
        <v>248</v>
      </c>
      <c r="F198" s="61"/>
      <c r="G198" s="62" t="s">
        <v>18</v>
      </c>
      <c r="H198" s="99">
        <v>20</v>
      </c>
      <c r="I198"/>
      <c r="J198"/>
      <c r="K198"/>
      <c r="L198"/>
      <c r="Q198"/>
    </row>
    <row r="199" spans="1:17" s="98" customFormat="1">
      <c r="A199" s="95"/>
      <c r="B199" s="35"/>
      <c r="C199" s="93"/>
      <c r="D199" s="67"/>
      <c r="E199" s="84" t="s">
        <v>608</v>
      </c>
      <c r="F199" s="61"/>
      <c r="G199" s="62"/>
      <c r="H199" s="42"/>
      <c r="I199"/>
      <c r="J199"/>
      <c r="K199"/>
      <c r="L199"/>
      <c r="Q199"/>
    </row>
    <row r="200" spans="1:17" s="98" customFormat="1">
      <c r="A200" s="95"/>
      <c r="B200" s="35"/>
      <c r="C200" s="93"/>
      <c r="D200" s="94"/>
      <c r="E200" s="65" t="s">
        <v>877</v>
      </c>
      <c r="F200" s="212">
        <v>20</v>
      </c>
      <c r="G200" s="101"/>
      <c r="H200" s="42"/>
      <c r="I200"/>
      <c r="J200"/>
      <c r="K200"/>
      <c r="L200"/>
      <c r="Q200"/>
    </row>
    <row r="201" spans="1:17" s="98" customFormat="1">
      <c r="A201" s="95"/>
      <c r="B201" s="35"/>
      <c r="C201" s="93"/>
      <c r="D201" s="94"/>
      <c r="E201" s="65"/>
      <c r="F201" s="212"/>
      <c r="G201" s="101"/>
      <c r="H201" s="42"/>
      <c r="I201"/>
      <c r="J201"/>
      <c r="K201"/>
      <c r="L201"/>
      <c r="Q201"/>
    </row>
    <row r="202" spans="1:17" s="98" customFormat="1">
      <c r="A202" s="34">
        <f>MAX(A$1:A201)+1</f>
        <v>28</v>
      </c>
      <c r="B202" s="35"/>
      <c r="C202" s="36" t="s">
        <v>78</v>
      </c>
      <c r="D202" s="37"/>
      <c r="E202" s="38" t="s">
        <v>79</v>
      </c>
      <c r="F202" s="39"/>
      <c r="G202" s="40" t="s">
        <v>18</v>
      </c>
      <c r="H202" s="52">
        <v>137.55000000000001</v>
      </c>
      <c r="I202"/>
      <c r="J202"/>
      <c r="K202"/>
      <c r="L202"/>
      <c r="Q202"/>
    </row>
    <row r="203" spans="1:17" s="98" customFormat="1">
      <c r="A203" s="95"/>
      <c r="B203" s="35"/>
      <c r="C203" s="93"/>
      <c r="D203" s="67" t="s">
        <v>167</v>
      </c>
      <c r="E203" s="71" t="s">
        <v>168</v>
      </c>
      <c r="F203" s="61"/>
      <c r="G203" s="62" t="s">
        <v>18</v>
      </c>
      <c r="H203" s="99">
        <v>137.55000000000001</v>
      </c>
      <c r="I203"/>
      <c r="J203"/>
      <c r="K203"/>
      <c r="L203"/>
      <c r="Q203"/>
    </row>
    <row r="204" spans="1:17" s="98" customFormat="1" ht="25.5">
      <c r="A204" s="95"/>
      <c r="B204" s="35"/>
      <c r="C204" s="93"/>
      <c r="D204" s="94"/>
      <c r="E204" s="65" t="s">
        <v>1645</v>
      </c>
      <c r="F204" s="212">
        <f>0.5*275.1</f>
        <v>137.55000000000001</v>
      </c>
      <c r="G204" s="101"/>
      <c r="H204" s="42"/>
      <c r="I204"/>
      <c r="J204"/>
      <c r="K204"/>
      <c r="L204"/>
      <c r="Q204"/>
    </row>
    <row r="205" spans="1:17" s="98" customFormat="1">
      <c r="A205" s="95"/>
      <c r="B205" s="35"/>
      <c r="C205" s="93"/>
      <c r="D205" s="94"/>
      <c r="E205" s="65"/>
      <c r="F205" s="212"/>
      <c r="G205" s="101"/>
      <c r="H205" s="42"/>
      <c r="I205"/>
      <c r="J205"/>
      <c r="K205"/>
      <c r="L205"/>
      <c r="Q205"/>
    </row>
    <row r="206" spans="1:17" ht="25.5">
      <c r="A206" s="34">
        <f>MAX(A$1:A205)+1</f>
        <v>29</v>
      </c>
      <c r="B206" s="43"/>
      <c r="C206" s="36" t="s">
        <v>249</v>
      </c>
      <c r="D206" s="37"/>
      <c r="E206" s="38" t="s">
        <v>250</v>
      </c>
      <c r="F206" s="39"/>
      <c r="G206" s="40" t="s">
        <v>21</v>
      </c>
      <c r="H206" s="64">
        <v>2853.96</v>
      </c>
    </row>
    <row r="207" spans="1:17" s="111" customFormat="1" ht="25.5">
      <c r="A207" s="179"/>
      <c r="B207" s="256"/>
      <c r="C207" s="66"/>
      <c r="D207" s="67" t="s">
        <v>251</v>
      </c>
      <c r="E207" s="71" t="s">
        <v>252</v>
      </c>
      <c r="F207" s="61"/>
      <c r="G207" s="62" t="s">
        <v>21</v>
      </c>
      <c r="H207" s="83">
        <v>2853.96</v>
      </c>
      <c r="Q207"/>
    </row>
    <row r="208" spans="1:17" s="111" customFormat="1">
      <c r="A208" s="179"/>
      <c r="B208" s="256"/>
      <c r="C208" s="79"/>
      <c r="D208" s="67"/>
      <c r="E208" s="77" t="s">
        <v>878</v>
      </c>
      <c r="F208" s="231">
        <v>583.86</v>
      </c>
      <c r="G208" s="62"/>
      <c r="H208" s="246"/>
      <c r="Q208"/>
    </row>
    <row r="209" spans="1:17" s="111" customFormat="1">
      <c r="A209" s="179"/>
      <c r="B209" s="256"/>
      <c r="C209" s="79"/>
      <c r="D209" s="67"/>
      <c r="E209" s="77" t="s">
        <v>978</v>
      </c>
      <c r="F209" s="133">
        <v>2270.1</v>
      </c>
      <c r="G209" s="62"/>
      <c r="H209" s="246"/>
      <c r="Q209"/>
    </row>
    <row r="210" spans="1:17" s="111" customFormat="1">
      <c r="A210" s="179"/>
      <c r="B210" s="256"/>
      <c r="C210" s="79"/>
      <c r="D210" s="67"/>
      <c r="E210" s="77"/>
      <c r="F210" s="81">
        <f>SUM(F208:F209)</f>
        <v>2853.96</v>
      </c>
      <c r="G210" s="62"/>
      <c r="H210" s="246"/>
      <c r="Q210"/>
    </row>
    <row r="211" spans="1:17" s="111" customFormat="1">
      <c r="A211" s="179"/>
      <c r="B211" s="256"/>
      <c r="C211" s="79"/>
      <c r="D211" s="67"/>
      <c r="E211" s="77"/>
      <c r="F211" s="257"/>
      <c r="G211" s="62"/>
      <c r="H211" s="246"/>
      <c r="Q211"/>
    </row>
    <row r="212" spans="1:17" s="111" customFormat="1">
      <c r="A212" s="179"/>
      <c r="B212" s="35" t="s">
        <v>56</v>
      </c>
      <c r="C212" s="93"/>
      <c r="D212" s="94"/>
      <c r="E212" s="96" t="s">
        <v>57</v>
      </c>
      <c r="F212" s="81"/>
      <c r="G212" s="62"/>
      <c r="H212" s="246"/>
      <c r="Q212"/>
    </row>
    <row r="213" spans="1:17" s="111" customFormat="1">
      <c r="A213" s="179"/>
      <c r="B213" s="35"/>
      <c r="C213" s="93"/>
      <c r="D213" s="94"/>
      <c r="E213" s="50"/>
      <c r="F213" s="81"/>
      <c r="G213" s="62"/>
      <c r="H213" s="246"/>
      <c r="Q213"/>
    </row>
    <row r="214" spans="1:17" s="111" customFormat="1">
      <c r="A214" s="34">
        <f>MAX(A$1:A213)+1</f>
        <v>30</v>
      </c>
      <c r="B214" s="256"/>
      <c r="C214" s="36" t="s">
        <v>58</v>
      </c>
      <c r="D214" s="37"/>
      <c r="E214" s="38" t="s">
        <v>59</v>
      </c>
      <c r="F214" s="39"/>
      <c r="G214" s="40" t="s">
        <v>18</v>
      </c>
      <c r="H214" s="64">
        <v>520.33000000000004</v>
      </c>
      <c r="I214" s="710"/>
      <c r="Q214"/>
    </row>
    <row r="215" spans="1:17" s="111" customFormat="1">
      <c r="A215" s="179"/>
      <c r="B215" s="256"/>
      <c r="C215" s="66"/>
      <c r="D215" s="67" t="s">
        <v>60</v>
      </c>
      <c r="E215" s="71" t="s">
        <v>61</v>
      </c>
      <c r="F215" s="61"/>
      <c r="G215" s="62" t="s">
        <v>18</v>
      </c>
      <c r="H215" s="83">
        <v>520.33000000000004</v>
      </c>
      <c r="Q215"/>
    </row>
    <row r="216" spans="1:17" s="111" customFormat="1">
      <c r="A216" s="179"/>
      <c r="B216" s="256"/>
      <c r="C216" s="66"/>
      <c r="D216" s="67"/>
      <c r="E216" s="65" t="s">
        <v>166</v>
      </c>
      <c r="F216" s="46">
        <f>F191</f>
        <v>75.45</v>
      </c>
      <c r="G216" s="62"/>
      <c r="H216" s="83"/>
      <c r="Q216"/>
    </row>
    <row r="217" spans="1:17" s="111" customFormat="1">
      <c r="A217" s="179"/>
      <c r="B217" s="256"/>
      <c r="C217" s="66"/>
      <c r="D217" s="67"/>
      <c r="E217" s="65"/>
      <c r="F217" s="46"/>
      <c r="G217" s="62"/>
      <c r="H217" s="83"/>
      <c r="Q217"/>
    </row>
    <row r="218" spans="1:17" s="111" customFormat="1">
      <c r="A218" s="179"/>
      <c r="B218" s="256"/>
      <c r="C218" s="66"/>
      <c r="D218" s="67"/>
      <c r="E218" s="65" t="s">
        <v>1228</v>
      </c>
      <c r="F218" s="46">
        <f>F227</f>
        <v>444.88</v>
      </c>
      <c r="G218" s="62"/>
      <c r="H218" s="83"/>
      <c r="Q218"/>
    </row>
    <row r="219" spans="1:17" s="111" customFormat="1">
      <c r="A219" s="179"/>
      <c r="B219" s="256"/>
      <c r="C219" s="66"/>
      <c r="D219" s="67"/>
      <c r="E219" s="91" t="s">
        <v>41</v>
      </c>
      <c r="F219" s="123">
        <f>F216+F218</f>
        <v>520.33000000000004</v>
      </c>
      <c r="G219" s="62"/>
      <c r="H219" s="83"/>
      <c r="Q219"/>
    </row>
    <row r="220" spans="1:17" s="111" customFormat="1">
      <c r="A220" s="179"/>
      <c r="B220" s="256"/>
      <c r="C220" s="66"/>
      <c r="D220" s="67"/>
      <c r="E220" s="71"/>
      <c r="F220" s="61"/>
      <c r="G220" s="62"/>
      <c r="H220" s="83"/>
      <c r="Q220"/>
    </row>
    <row r="221" spans="1:17" s="111" customFormat="1">
      <c r="A221" s="34">
        <f>MAX(A$1:A220)+1</f>
        <v>31</v>
      </c>
      <c r="B221" s="256"/>
      <c r="C221" s="36" t="s">
        <v>62</v>
      </c>
      <c r="D221" s="37"/>
      <c r="E221" s="38" t="s">
        <v>63</v>
      </c>
      <c r="F221" s="39"/>
      <c r="G221" s="40" t="s">
        <v>18</v>
      </c>
      <c r="H221" s="64">
        <v>75.45</v>
      </c>
      <c r="Q221"/>
    </row>
    <row r="222" spans="1:17" s="111" customFormat="1" ht="25.5">
      <c r="A222" s="179"/>
      <c r="B222" s="256"/>
      <c r="C222" s="66"/>
      <c r="D222" s="67" t="s">
        <v>64</v>
      </c>
      <c r="E222" s="71" t="s">
        <v>65</v>
      </c>
      <c r="F222" s="61"/>
      <c r="G222" s="62" t="s">
        <v>18</v>
      </c>
      <c r="H222" s="83">
        <v>75.45</v>
      </c>
      <c r="Q222"/>
    </row>
    <row r="223" spans="1:17" s="111" customFormat="1">
      <c r="A223" s="179"/>
      <c r="B223" s="256"/>
      <c r="C223" s="66"/>
      <c r="D223" s="67"/>
      <c r="E223" s="65" t="s">
        <v>290</v>
      </c>
      <c r="F223" s="46">
        <f>F216</f>
        <v>75.45</v>
      </c>
      <c r="G223" s="62"/>
      <c r="H223" s="246"/>
      <c r="Q223"/>
    </row>
    <row r="224" spans="1:17" s="111" customFormat="1">
      <c r="A224" s="179"/>
      <c r="B224" s="256"/>
      <c r="C224" s="66"/>
      <c r="D224" s="67"/>
      <c r="E224" s="65"/>
      <c r="F224" s="46"/>
      <c r="G224" s="62"/>
      <c r="H224" s="246"/>
      <c r="Q224"/>
    </row>
    <row r="225" spans="1:17" s="111" customFormat="1">
      <c r="A225" s="34">
        <f>MAX(A$1:A224)+1</f>
        <v>32</v>
      </c>
      <c r="B225" s="256"/>
      <c r="C225" s="36" t="s">
        <v>50</v>
      </c>
      <c r="D225" s="37"/>
      <c r="E225" s="38" t="s">
        <v>51</v>
      </c>
      <c r="F225" s="39"/>
      <c r="G225" s="40" t="s">
        <v>18</v>
      </c>
      <c r="H225" s="64">
        <v>444.88</v>
      </c>
      <c r="Q225"/>
    </row>
    <row r="226" spans="1:17" s="111" customFormat="1" ht="25.5">
      <c r="A226" s="179"/>
      <c r="B226" s="256"/>
      <c r="C226" s="66"/>
      <c r="D226" s="67" t="s">
        <v>138</v>
      </c>
      <c r="E226" s="71" t="s">
        <v>139</v>
      </c>
      <c r="F226" s="61"/>
      <c r="G226" s="62" t="s">
        <v>18</v>
      </c>
      <c r="H226" s="83">
        <v>444.88</v>
      </c>
      <c r="Q226"/>
    </row>
    <row r="227" spans="1:17" s="111" customFormat="1">
      <c r="A227" s="179"/>
      <c r="B227" s="256"/>
      <c r="C227" s="66"/>
      <c r="D227" s="67"/>
      <c r="E227" s="65" t="s">
        <v>1419</v>
      </c>
      <c r="F227" s="46">
        <f>F195</f>
        <v>444.88</v>
      </c>
      <c r="G227" s="62"/>
      <c r="H227" s="246"/>
      <c r="Q227"/>
    </row>
    <row r="228" spans="1:17" s="111" customFormat="1">
      <c r="A228" s="179"/>
      <c r="B228" s="256"/>
      <c r="C228" s="66"/>
      <c r="D228" s="67"/>
      <c r="E228" s="71"/>
      <c r="F228" s="61"/>
      <c r="G228" s="62"/>
      <c r="H228" s="246"/>
      <c r="Q228"/>
    </row>
    <row r="229" spans="1:17" s="111" customFormat="1">
      <c r="A229" s="34">
        <f>MAX(A$1:A228)+1</f>
        <v>33</v>
      </c>
      <c r="B229" s="43"/>
      <c r="C229" s="36" t="s">
        <v>291</v>
      </c>
      <c r="D229" s="37"/>
      <c r="E229" s="38" t="s">
        <v>292</v>
      </c>
      <c r="F229" s="39"/>
      <c r="G229" s="40" t="s">
        <v>18</v>
      </c>
      <c r="H229" s="64">
        <v>75.45</v>
      </c>
      <c r="Q229"/>
    </row>
    <row r="230" spans="1:17" s="111" customFormat="1" ht="25.5">
      <c r="A230" s="72"/>
      <c r="B230" s="73"/>
      <c r="C230" s="66"/>
      <c r="D230" s="67" t="s">
        <v>293</v>
      </c>
      <c r="E230" s="71" t="s">
        <v>294</v>
      </c>
      <c r="F230" s="61"/>
      <c r="G230" s="62" t="s">
        <v>18</v>
      </c>
      <c r="H230" s="83">
        <v>75.45</v>
      </c>
      <c r="Q230"/>
    </row>
    <row r="231" spans="1:17" s="111" customFormat="1">
      <c r="A231" s="95"/>
      <c r="B231" s="35"/>
      <c r="C231" s="93"/>
      <c r="D231" s="94"/>
      <c r="E231" s="168" t="s">
        <v>295</v>
      </c>
      <c r="F231" s="104">
        <f>F191</f>
        <v>75.45</v>
      </c>
      <c r="G231" s="97"/>
      <c r="H231" s="246"/>
      <c r="Q231"/>
    </row>
    <row r="232" spans="1:17" s="111" customFormat="1">
      <c r="A232" s="179"/>
      <c r="B232" s="256"/>
      <c r="C232" s="66"/>
      <c r="D232" s="67"/>
      <c r="E232" s="71"/>
      <c r="F232" s="61"/>
      <c r="G232" s="62"/>
      <c r="H232" s="246"/>
      <c r="Q232"/>
    </row>
    <row r="233" spans="1:17" s="111" customFormat="1">
      <c r="A233" s="34">
        <f>MAX(A$1:A232)+1</f>
        <v>34</v>
      </c>
      <c r="B233" s="256"/>
      <c r="C233" s="36" t="s">
        <v>83</v>
      </c>
      <c r="D233" s="37"/>
      <c r="E233" s="38" t="s">
        <v>84</v>
      </c>
      <c r="F233" s="39"/>
      <c r="G233" s="40" t="s">
        <v>18</v>
      </c>
      <c r="H233" s="64">
        <v>75.45</v>
      </c>
      <c r="Q233"/>
    </row>
    <row r="234" spans="1:17" s="111" customFormat="1" ht="25.5">
      <c r="A234" s="179"/>
      <c r="B234" s="256"/>
      <c r="C234" s="66"/>
      <c r="D234" s="67" t="s">
        <v>85</v>
      </c>
      <c r="E234" s="71" t="s">
        <v>86</v>
      </c>
      <c r="F234" s="61"/>
      <c r="G234" s="62" t="s">
        <v>18</v>
      </c>
      <c r="H234" s="83">
        <v>75.45</v>
      </c>
      <c r="Q234"/>
    </row>
    <row r="235" spans="1:17" s="111" customFormat="1">
      <c r="A235" s="179"/>
      <c r="B235" s="256"/>
      <c r="C235" s="66"/>
      <c r="D235" s="67"/>
      <c r="E235" s="168" t="s">
        <v>184</v>
      </c>
      <c r="F235" s="90">
        <f>F216</f>
        <v>75.45</v>
      </c>
      <c r="G235" s="62"/>
      <c r="H235" s="246"/>
      <c r="Q235"/>
    </row>
    <row r="236" spans="1:17" s="111" customFormat="1">
      <c r="A236" s="179"/>
      <c r="B236" s="256"/>
      <c r="C236" s="66"/>
      <c r="D236" s="67"/>
      <c r="E236" s="168"/>
      <c r="F236" s="90"/>
      <c r="G236" s="62"/>
      <c r="H236" s="246"/>
      <c r="Q236"/>
    </row>
    <row r="237" spans="1:17" s="111" customFormat="1" ht="25.5">
      <c r="A237" s="179"/>
      <c r="B237" s="35" t="s">
        <v>324</v>
      </c>
      <c r="C237" s="35"/>
      <c r="D237" s="94"/>
      <c r="E237" s="50" t="s">
        <v>325</v>
      </c>
      <c r="F237" s="90"/>
      <c r="G237" s="62"/>
      <c r="H237" s="246"/>
      <c r="Q237"/>
    </row>
    <row r="238" spans="1:17" s="111" customFormat="1">
      <c r="A238" s="179"/>
      <c r="B238" s="270"/>
      <c r="C238" s="35"/>
      <c r="D238" s="94"/>
      <c r="E238" s="50"/>
      <c r="F238" s="90"/>
      <c r="G238" s="62"/>
      <c r="H238" s="246"/>
      <c r="Q238"/>
    </row>
    <row r="239" spans="1:17" s="111" customFormat="1" ht="25.5">
      <c r="A239" s="34">
        <f>MAX(A$1:A237)+1</f>
        <v>35</v>
      </c>
      <c r="B239" s="256"/>
      <c r="C239" s="36" t="s">
        <v>326</v>
      </c>
      <c r="D239" s="37"/>
      <c r="E239" s="38" t="s">
        <v>327</v>
      </c>
      <c r="F239" s="39"/>
      <c r="G239" s="40" t="s">
        <v>21</v>
      </c>
      <c r="H239" s="128">
        <v>415.82</v>
      </c>
      <c r="Q239"/>
    </row>
    <row r="240" spans="1:17" s="111" customFormat="1" ht="25.5">
      <c r="A240" s="179"/>
      <c r="B240" s="256"/>
      <c r="C240" s="66"/>
      <c r="D240" s="67" t="s">
        <v>328</v>
      </c>
      <c r="E240" s="71" t="s">
        <v>329</v>
      </c>
      <c r="F240" s="61"/>
      <c r="G240" s="62" t="s">
        <v>21</v>
      </c>
      <c r="H240" s="124">
        <v>69.72</v>
      </c>
      <c r="Q240"/>
    </row>
    <row r="241" spans="1:17" s="111" customFormat="1" ht="25.5">
      <c r="A241" s="179"/>
      <c r="B241" s="256"/>
      <c r="C241" s="66"/>
      <c r="D241" s="67"/>
      <c r="E241" s="65" t="s">
        <v>1646</v>
      </c>
      <c r="F241" s="68">
        <f>0.12*523</f>
        <v>62.76</v>
      </c>
      <c r="G241" s="62"/>
      <c r="H241" s="124"/>
      <c r="Q241"/>
    </row>
    <row r="242" spans="1:17" s="111" customFormat="1" ht="38.25">
      <c r="A242" s="179"/>
      <c r="B242" s="256"/>
      <c r="C242" s="66"/>
      <c r="D242" s="67"/>
      <c r="E242" s="65" t="s">
        <v>1647</v>
      </c>
      <c r="F242" s="225">
        <f>0.12*116/2</f>
        <v>6.96</v>
      </c>
      <c r="G242" s="62"/>
      <c r="H242" s="124"/>
      <c r="Q242"/>
    </row>
    <row r="243" spans="1:17" s="111" customFormat="1">
      <c r="A243" s="179"/>
      <c r="B243" s="256"/>
      <c r="C243" s="66"/>
      <c r="D243" s="67"/>
      <c r="E243" s="65"/>
      <c r="F243" s="68">
        <f>SUM(F241:F242)</f>
        <v>69.72</v>
      </c>
      <c r="G243" s="62"/>
      <c r="H243" s="124"/>
      <c r="Q243"/>
    </row>
    <row r="244" spans="1:17" s="111" customFormat="1" ht="25.5">
      <c r="A244" s="179"/>
      <c r="B244" s="256"/>
      <c r="C244" s="66"/>
      <c r="D244" s="67" t="s">
        <v>330</v>
      </c>
      <c r="E244" s="71" t="s">
        <v>331</v>
      </c>
      <c r="F244" s="61"/>
      <c r="G244" s="62" t="s">
        <v>21</v>
      </c>
      <c r="H244" s="124">
        <v>40.32</v>
      </c>
      <c r="Q244"/>
    </row>
    <row r="245" spans="1:17" s="111" customFormat="1" ht="25.5">
      <c r="A245" s="179"/>
      <c r="B245" s="256"/>
      <c r="C245" s="66"/>
      <c r="D245" s="67"/>
      <c r="E245" s="65" t="s">
        <v>1648</v>
      </c>
      <c r="F245" s="46">
        <f>0.12*150</f>
        <v>18</v>
      </c>
      <c r="G245" s="62"/>
      <c r="H245" s="124"/>
      <c r="Q245"/>
    </row>
    <row r="246" spans="1:17" s="111" customFormat="1" ht="25.5">
      <c r="A246" s="179"/>
      <c r="B246" s="256"/>
      <c r="C246" s="66"/>
      <c r="D246" s="67"/>
      <c r="E246" s="65" t="s">
        <v>1649</v>
      </c>
      <c r="F246" s="68">
        <f>0.12*207/2</f>
        <v>12.42</v>
      </c>
      <c r="G246" s="62"/>
      <c r="H246" s="124"/>
      <c r="Q246"/>
    </row>
    <row r="247" spans="1:17" s="111" customFormat="1" ht="25.5">
      <c r="A247" s="179"/>
      <c r="B247" s="256"/>
      <c r="C247" s="66"/>
      <c r="D247" s="67"/>
      <c r="E247" s="65" t="s">
        <v>1650</v>
      </c>
      <c r="F247" s="69">
        <f>0.12*165/2</f>
        <v>9.9</v>
      </c>
      <c r="G247" s="62"/>
      <c r="H247" s="124"/>
      <c r="Q247"/>
    </row>
    <row r="248" spans="1:17" s="111" customFormat="1">
      <c r="A248" s="179"/>
      <c r="B248" s="256"/>
      <c r="C248" s="66"/>
      <c r="D248" s="67"/>
      <c r="E248" s="65"/>
      <c r="F248" s="46">
        <f>SUM(F245:F247)</f>
        <v>40.32</v>
      </c>
      <c r="G248" s="62"/>
      <c r="H248" s="124"/>
      <c r="Q248"/>
    </row>
    <row r="249" spans="1:17" s="111" customFormat="1" ht="25.5">
      <c r="A249" s="179"/>
      <c r="B249" s="256"/>
      <c r="C249" s="66"/>
      <c r="D249" s="67" t="s">
        <v>332</v>
      </c>
      <c r="E249" s="71" t="s">
        <v>333</v>
      </c>
      <c r="F249" s="61"/>
      <c r="G249" s="62" t="s">
        <v>21</v>
      </c>
      <c r="H249" s="124">
        <v>305.77999999999997</v>
      </c>
      <c r="Q249"/>
    </row>
    <row r="250" spans="1:17" s="111" customFormat="1">
      <c r="A250" s="179"/>
      <c r="B250" s="256"/>
      <c r="C250" s="66"/>
      <c r="D250" s="67"/>
      <c r="E250" s="168" t="s">
        <v>1651</v>
      </c>
      <c r="F250" s="90">
        <f>6.5*0.5</f>
        <v>3.25</v>
      </c>
      <c r="G250" s="62"/>
      <c r="H250" s="246"/>
      <c r="Q250"/>
    </row>
    <row r="251" spans="1:17" s="111" customFormat="1" ht="25.5">
      <c r="A251" s="179"/>
      <c r="B251" s="256"/>
      <c r="C251" s="66"/>
      <c r="D251" s="67"/>
      <c r="E251" s="168" t="s">
        <v>1652</v>
      </c>
      <c r="F251" s="90">
        <f>18*0.125</f>
        <v>2.25</v>
      </c>
      <c r="G251" s="62"/>
      <c r="H251" s="246"/>
      <c r="Q251"/>
    </row>
    <row r="252" spans="1:17" s="111" customFormat="1" ht="25.5">
      <c r="A252" s="179"/>
      <c r="B252" s="256"/>
      <c r="C252" s="66"/>
      <c r="D252" s="67"/>
      <c r="E252" s="168" t="s">
        <v>1653</v>
      </c>
      <c r="F252" s="90">
        <f>4*46/2</f>
        <v>92</v>
      </c>
      <c r="G252" s="62"/>
      <c r="H252" s="246"/>
      <c r="Q252"/>
    </row>
    <row r="253" spans="1:17" s="111" customFormat="1" ht="25.5">
      <c r="A253" s="179"/>
      <c r="B253" s="256"/>
      <c r="C253" s="66"/>
      <c r="D253" s="67"/>
      <c r="E253" s="168" t="s">
        <v>1654</v>
      </c>
      <c r="F253" s="90">
        <f>0.12*6*(2/3)*2*2</f>
        <v>1.92</v>
      </c>
      <c r="G253" s="62"/>
      <c r="H253" s="246"/>
      <c r="Q253"/>
    </row>
    <row r="254" spans="1:17" s="111" customFormat="1">
      <c r="A254" s="179"/>
      <c r="B254" s="256"/>
      <c r="C254" s="66"/>
      <c r="D254" s="67"/>
      <c r="E254" s="168" t="s">
        <v>1655</v>
      </c>
      <c r="F254" s="90">
        <v>14</v>
      </c>
      <c r="G254" s="62"/>
      <c r="H254" s="246"/>
      <c r="Q254"/>
    </row>
    <row r="255" spans="1:17" s="111" customFormat="1" ht="25.5">
      <c r="A255" s="179"/>
      <c r="B255" s="256"/>
      <c r="C255" s="66"/>
      <c r="D255" s="67"/>
      <c r="E255" s="168" t="s">
        <v>1656</v>
      </c>
      <c r="F255" s="90">
        <f>9*0.12*7</f>
        <v>7.5600000000000005</v>
      </c>
      <c r="G255" s="62"/>
      <c r="H255" s="246"/>
      <c r="Q255"/>
    </row>
    <row r="256" spans="1:17" s="111" customFormat="1" ht="25.5">
      <c r="A256" s="179"/>
      <c r="B256" s="256"/>
      <c r="C256" s="66"/>
      <c r="D256" s="67"/>
      <c r="E256" s="168" t="s">
        <v>1657</v>
      </c>
      <c r="F256" s="90">
        <f>1*1.95</f>
        <v>1.95</v>
      </c>
      <c r="G256" s="62"/>
      <c r="H256" s="246"/>
      <c r="Q256"/>
    </row>
    <row r="257" spans="1:17" s="111" customFormat="1">
      <c r="A257" s="179"/>
      <c r="B257" s="256"/>
      <c r="C257" s="66"/>
      <c r="D257" s="67"/>
      <c r="E257" s="168" t="s">
        <v>1658</v>
      </c>
      <c r="F257" s="90">
        <f>4*1.3</f>
        <v>5.2</v>
      </c>
      <c r="G257" s="62"/>
      <c r="H257" s="246"/>
      <c r="Q257"/>
    </row>
    <row r="258" spans="1:17" s="111" customFormat="1" ht="25.5">
      <c r="A258" s="179"/>
      <c r="B258" s="256"/>
      <c r="C258" s="66"/>
      <c r="D258" s="67"/>
      <c r="E258" s="168" t="s">
        <v>1659</v>
      </c>
      <c r="F258" s="90">
        <f>2*1.7</f>
        <v>3.4</v>
      </c>
      <c r="G258" s="62"/>
      <c r="H258" s="246"/>
      <c r="Q258"/>
    </row>
    <row r="259" spans="1:17" s="111" customFormat="1" ht="51">
      <c r="A259" s="179"/>
      <c r="B259" s="256"/>
      <c r="C259" s="66"/>
      <c r="D259" s="67"/>
      <c r="E259" s="168" t="s">
        <v>1660</v>
      </c>
      <c r="F259" s="138">
        <f>(21*2*0.12  + 22*0.9*0.12) + (25*2*0.12 + 26*0.9*0.12) + (12*1.5*0.12+ 13*0.9*12) + (11*1.9*0.12+12*9*0.12)</f>
        <v>174.25199999999998</v>
      </c>
      <c r="G259" s="62"/>
      <c r="H259" s="246"/>
      <c r="Q259"/>
    </row>
    <row r="260" spans="1:17" s="111" customFormat="1">
      <c r="A260" s="179"/>
      <c r="B260" s="256"/>
      <c r="C260" s="66"/>
      <c r="D260" s="67"/>
      <c r="E260" s="168"/>
      <c r="F260" s="90">
        <f>SUM(F250:F259)</f>
        <v>305.78199999999998</v>
      </c>
      <c r="G260" s="62"/>
      <c r="H260" s="246"/>
      <c r="Q260"/>
    </row>
    <row r="261" spans="1:17" s="111" customFormat="1">
      <c r="A261" s="179"/>
      <c r="B261" s="256"/>
      <c r="C261" s="66"/>
      <c r="D261" s="67"/>
      <c r="E261" s="84" t="s">
        <v>999</v>
      </c>
      <c r="F261" s="90"/>
      <c r="G261" s="62"/>
      <c r="H261" s="246"/>
      <c r="Q261"/>
    </row>
    <row r="262" spans="1:17" s="111" customFormat="1">
      <c r="A262" s="179"/>
      <c r="B262" s="256"/>
      <c r="C262" s="66"/>
      <c r="D262" s="67"/>
      <c r="E262" s="65" t="s">
        <v>1000</v>
      </c>
      <c r="F262" s="90"/>
      <c r="G262" s="62"/>
      <c r="H262" s="246"/>
      <c r="Q262"/>
    </row>
    <row r="263" spans="1:17" s="111" customFormat="1" ht="63.75">
      <c r="A263" s="179"/>
      <c r="B263" s="256"/>
      <c r="C263" s="66"/>
      <c r="D263" s="67"/>
      <c r="E263" s="65" t="s">
        <v>1001</v>
      </c>
      <c r="F263" s="90"/>
      <c r="G263" s="62"/>
      <c r="H263" s="246"/>
      <c r="Q263"/>
    </row>
    <row r="264" spans="1:17" s="111" customFormat="1" ht="38.25">
      <c r="A264" s="179"/>
      <c r="B264" s="256"/>
      <c r="C264" s="66"/>
      <c r="D264" s="67"/>
      <c r="E264" s="65" t="s">
        <v>1002</v>
      </c>
      <c r="F264" s="90"/>
      <c r="G264" s="62"/>
      <c r="H264" s="246"/>
      <c r="Q264"/>
    </row>
    <row r="265" spans="1:17" s="111" customFormat="1" ht="25.5">
      <c r="A265" s="179"/>
      <c r="B265" s="256"/>
      <c r="C265" s="66"/>
      <c r="D265" s="67"/>
      <c r="E265" s="65" t="s">
        <v>1003</v>
      </c>
      <c r="F265" s="90"/>
      <c r="G265" s="62"/>
      <c r="H265" s="246"/>
      <c r="Q265"/>
    </row>
    <row r="266" spans="1:17" s="111" customFormat="1">
      <c r="A266" s="179"/>
      <c r="B266" s="256"/>
      <c r="C266" s="66"/>
      <c r="D266" s="67"/>
      <c r="E266" s="71"/>
      <c r="F266" s="61"/>
      <c r="G266" s="62"/>
      <c r="H266" s="246"/>
      <c r="Q266"/>
    </row>
    <row r="267" spans="1:17" s="98" customFormat="1" ht="25.5">
      <c r="A267" s="34"/>
      <c r="B267" s="35" t="s">
        <v>261</v>
      </c>
      <c r="C267" s="35"/>
      <c r="D267" s="94"/>
      <c r="E267" s="50" t="s">
        <v>262</v>
      </c>
      <c r="F267" s="100"/>
      <c r="G267" s="97"/>
      <c r="H267" s="42"/>
      <c r="I267"/>
      <c r="J267"/>
      <c r="K267"/>
      <c r="L267"/>
      <c r="Q267"/>
    </row>
    <row r="268" spans="1:17" s="98" customFormat="1">
      <c r="A268" s="145"/>
      <c r="B268" s="35"/>
      <c r="C268" s="35"/>
      <c r="D268" s="94"/>
      <c r="E268" s="50"/>
      <c r="F268" s="100"/>
      <c r="G268" s="97"/>
      <c r="H268" s="42"/>
      <c r="I268"/>
      <c r="J268"/>
      <c r="K268"/>
      <c r="L268"/>
      <c r="Q268"/>
    </row>
    <row r="269" spans="1:17" s="98" customFormat="1" ht="25.5">
      <c r="A269" s="34">
        <f>MAX(A$1:A268)+1</f>
        <v>36</v>
      </c>
      <c r="B269" s="35"/>
      <c r="C269" s="36" t="s">
        <v>604</v>
      </c>
      <c r="D269" s="37"/>
      <c r="E269" s="38" t="s">
        <v>605</v>
      </c>
      <c r="F269" s="39"/>
      <c r="G269" s="40" t="s">
        <v>18</v>
      </c>
      <c r="H269" s="52">
        <v>88.86</v>
      </c>
      <c r="I269" s="115"/>
      <c r="J269"/>
      <c r="K269"/>
      <c r="L269"/>
      <c r="Q269"/>
    </row>
    <row r="270" spans="1:17" s="98" customFormat="1" ht="38.25">
      <c r="A270" s="145"/>
      <c r="B270" s="35"/>
      <c r="C270" s="36"/>
      <c r="D270" s="67" t="s">
        <v>606</v>
      </c>
      <c r="E270" s="71" t="s">
        <v>607</v>
      </c>
      <c r="F270" s="61"/>
      <c r="G270" s="62" t="s">
        <v>18</v>
      </c>
      <c r="H270" s="99">
        <v>88.86</v>
      </c>
      <c r="I270" s="266"/>
      <c r="J270"/>
      <c r="K270"/>
      <c r="L270"/>
      <c r="Q270"/>
    </row>
    <row r="271" spans="1:17" s="98" customFormat="1" ht="51">
      <c r="A271" s="145"/>
      <c r="B271" s="35"/>
      <c r="C271" s="35"/>
      <c r="D271" s="94"/>
      <c r="E271" s="65" t="s">
        <v>1661</v>
      </c>
      <c r="F271" s="212">
        <f>0.39*227.85</f>
        <v>88.861500000000007</v>
      </c>
      <c r="G271" s="97"/>
      <c r="H271" s="42"/>
      <c r="I271"/>
      <c r="J271"/>
      <c r="K271"/>
      <c r="L271"/>
      <c r="Q271"/>
    </row>
    <row r="272" spans="1:17" s="98" customFormat="1">
      <c r="A272" s="145"/>
      <c r="B272" s="35"/>
      <c r="C272" s="35"/>
      <c r="D272" s="94"/>
      <c r="E272" s="50"/>
      <c r="F272" s="100"/>
      <c r="G272" s="97"/>
      <c r="H272" s="42"/>
      <c r="I272"/>
      <c r="J272"/>
      <c r="K272"/>
      <c r="L272"/>
      <c r="Q272"/>
    </row>
    <row r="273" spans="1:17" s="98" customFormat="1">
      <c r="A273" s="145"/>
      <c r="B273" s="35"/>
      <c r="C273" s="35"/>
      <c r="D273" s="94"/>
      <c r="E273" s="84" t="s">
        <v>1006</v>
      </c>
      <c r="F273" s="100"/>
      <c r="G273" s="97"/>
      <c r="H273" s="42"/>
      <c r="I273"/>
      <c r="J273"/>
      <c r="K273"/>
      <c r="L273"/>
      <c r="Q273"/>
    </row>
    <row r="274" spans="1:17" s="98" customFormat="1" ht="16.5" customHeight="1">
      <c r="A274" s="145"/>
      <c r="B274" s="35"/>
      <c r="C274" s="35"/>
      <c r="D274" s="94"/>
      <c r="E274" s="135" t="s">
        <v>1662</v>
      </c>
      <c r="F274" s="100"/>
      <c r="G274" s="97"/>
      <c r="H274" s="42"/>
      <c r="I274"/>
      <c r="J274"/>
      <c r="K274"/>
      <c r="L274"/>
      <c r="Q274"/>
    </row>
    <row r="275" spans="1:17" s="98" customFormat="1" ht="26.25">
      <c r="A275" s="145"/>
      <c r="B275" s="35"/>
      <c r="C275" s="35"/>
      <c r="D275" s="94"/>
      <c r="E275" s="135" t="s">
        <v>1663</v>
      </c>
      <c r="F275" s="100"/>
      <c r="G275" s="97"/>
      <c r="H275" s="42"/>
      <c r="I275"/>
      <c r="J275"/>
      <c r="K275"/>
      <c r="L275"/>
      <c r="Q275"/>
    </row>
    <row r="276" spans="1:17" s="98" customFormat="1" ht="26.25">
      <c r="A276" s="145"/>
      <c r="B276" s="35"/>
      <c r="C276" s="35"/>
      <c r="D276" s="94"/>
      <c r="E276" s="135" t="s">
        <v>1664</v>
      </c>
      <c r="F276" s="100"/>
      <c r="G276" s="97"/>
      <c r="H276" s="42"/>
      <c r="I276"/>
      <c r="J276"/>
      <c r="K276"/>
      <c r="L276"/>
      <c r="Q276"/>
    </row>
    <row r="277" spans="1:17" s="98" customFormat="1" ht="26.25">
      <c r="A277" s="145"/>
      <c r="B277" s="35"/>
      <c r="C277" s="35"/>
      <c r="D277" s="94"/>
      <c r="E277" s="135" t="s">
        <v>1665</v>
      </c>
      <c r="F277" s="100"/>
      <c r="G277" s="97"/>
      <c r="H277" s="42"/>
      <c r="I277"/>
      <c r="J277"/>
      <c r="K277"/>
      <c r="L277"/>
      <c r="Q277"/>
    </row>
    <row r="278" spans="1:17" s="98" customFormat="1">
      <c r="A278" s="145"/>
      <c r="B278" s="35"/>
      <c r="C278" s="35"/>
      <c r="D278" s="94"/>
      <c r="E278" s="68" t="s">
        <v>1666</v>
      </c>
      <c r="F278" s="100"/>
      <c r="G278" s="97"/>
      <c r="H278" s="42"/>
      <c r="I278"/>
      <c r="J278"/>
      <c r="K278"/>
      <c r="L278"/>
      <c r="Q278"/>
    </row>
    <row r="279" spans="1:17" s="98" customFormat="1">
      <c r="A279" s="145"/>
      <c r="B279" s="35"/>
      <c r="C279" s="35"/>
      <c r="D279" s="94"/>
      <c r="E279" s="68" t="s">
        <v>1667</v>
      </c>
      <c r="F279" s="100"/>
      <c r="G279" s="97"/>
      <c r="H279" s="42"/>
      <c r="I279"/>
      <c r="J279"/>
      <c r="K279"/>
      <c r="L279"/>
      <c r="Q279"/>
    </row>
    <row r="280" spans="1:17" s="98" customFormat="1" ht="26.25">
      <c r="A280" s="145"/>
      <c r="B280" s="35"/>
      <c r="C280" s="35"/>
      <c r="D280" s="94"/>
      <c r="E280" s="68" t="s">
        <v>1668</v>
      </c>
      <c r="F280" s="100"/>
      <c r="G280" s="97"/>
      <c r="H280" s="42"/>
      <c r="I280"/>
      <c r="J280"/>
      <c r="K280"/>
      <c r="L280"/>
      <c r="Q280"/>
    </row>
    <row r="281" spans="1:17" s="98" customFormat="1">
      <c r="A281" s="145"/>
      <c r="B281" s="35"/>
      <c r="C281" s="35"/>
      <c r="D281" s="94"/>
      <c r="E281" s="68" t="s">
        <v>1669</v>
      </c>
      <c r="F281" s="100"/>
      <c r="G281" s="97"/>
      <c r="H281" s="42"/>
      <c r="I281"/>
      <c r="J281"/>
      <c r="K281"/>
      <c r="L281"/>
      <c r="Q281"/>
    </row>
    <row r="282" spans="1:17" s="98" customFormat="1">
      <c r="A282" s="145"/>
      <c r="B282" s="35"/>
      <c r="C282" s="35"/>
      <c r="D282" s="94"/>
      <c r="E282" s="135" t="s">
        <v>1670</v>
      </c>
      <c r="F282" s="100"/>
      <c r="G282" s="97"/>
      <c r="H282" s="42"/>
      <c r="I282"/>
      <c r="J282"/>
      <c r="K282"/>
      <c r="L282"/>
      <c r="Q282"/>
    </row>
    <row r="283" spans="1:17" s="98" customFormat="1" ht="26.25">
      <c r="A283" s="145"/>
      <c r="B283" s="35"/>
      <c r="C283" s="35"/>
      <c r="D283" s="94"/>
      <c r="E283" s="68" t="s">
        <v>1671</v>
      </c>
      <c r="F283" s="100"/>
      <c r="G283" s="97"/>
      <c r="H283" s="42"/>
      <c r="I283"/>
      <c r="J283"/>
      <c r="K283"/>
      <c r="L283"/>
      <c r="Q283"/>
    </row>
    <row r="284" spans="1:17" s="98" customFormat="1">
      <c r="A284" s="145"/>
      <c r="B284" s="35"/>
      <c r="C284" s="35"/>
      <c r="D284" s="94"/>
      <c r="E284" s="68" t="s">
        <v>1672</v>
      </c>
      <c r="F284" s="100"/>
      <c r="G284" s="97"/>
      <c r="H284" s="42"/>
      <c r="I284"/>
      <c r="J284"/>
      <c r="K284"/>
      <c r="L284"/>
      <c r="Q284"/>
    </row>
    <row r="285" spans="1:17" s="98" customFormat="1">
      <c r="A285" s="145"/>
      <c r="B285" s="35"/>
      <c r="C285" s="35"/>
      <c r="D285" s="94"/>
      <c r="E285" s="68" t="s">
        <v>1673</v>
      </c>
      <c r="F285" s="100"/>
      <c r="G285" s="97"/>
      <c r="H285" s="42"/>
      <c r="I285"/>
      <c r="J285"/>
      <c r="K285"/>
      <c r="L285"/>
      <c r="Q285"/>
    </row>
    <row r="286" spans="1:17" s="98" customFormat="1">
      <c r="A286" s="145"/>
      <c r="B286" s="35"/>
      <c r="C286" s="35"/>
      <c r="D286" s="94"/>
      <c r="E286" s="68" t="s">
        <v>1674</v>
      </c>
      <c r="F286" s="100"/>
      <c r="G286" s="97"/>
      <c r="H286" s="42"/>
      <c r="I286"/>
      <c r="J286"/>
      <c r="K286"/>
      <c r="L286"/>
      <c r="Q286"/>
    </row>
    <row r="287" spans="1:17" s="98" customFormat="1">
      <c r="A287" s="145"/>
      <c r="B287" s="35"/>
      <c r="C287" s="35"/>
      <c r="D287" s="94"/>
      <c r="E287" s="68" t="s">
        <v>1675</v>
      </c>
      <c r="F287" s="100"/>
      <c r="G287" s="97"/>
      <c r="H287" s="42"/>
      <c r="I287"/>
      <c r="J287"/>
      <c r="K287"/>
      <c r="L287"/>
      <c r="Q287"/>
    </row>
    <row r="288" spans="1:17" s="98" customFormat="1" ht="26.25">
      <c r="A288" s="145"/>
      <c r="B288" s="35"/>
      <c r="C288" s="35"/>
      <c r="D288" s="94"/>
      <c r="E288" s="68" t="s">
        <v>1676</v>
      </c>
      <c r="F288" s="100"/>
      <c r="G288" s="97"/>
      <c r="H288" s="42"/>
      <c r="I288"/>
      <c r="J288"/>
      <c r="K288"/>
      <c r="L288"/>
      <c r="Q288"/>
    </row>
    <row r="289" spans="1:17" s="98" customFormat="1" ht="26.25">
      <c r="A289" s="145"/>
      <c r="B289" s="35"/>
      <c r="C289" s="35"/>
      <c r="D289" s="94"/>
      <c r="E289" s="68" t="s">
        <v>1677</v>
      </c>
      <c r="F289" s="100"/>
      <c r="G289" s="97"/>
      <c r="H289" s="42"/>
      <c r="I289"/>
      <c r="J289"/>
      <c r="K289"/>
      <c r="L289"/>
      <c r="Q289"/>
    </row>
    <row r="290" spans="1:17" s="98" customFormat="1">
      <c r="A290" s="145"/>
      <c r="B290" s="35"/>
      <c r="C290" s="35"/>
      <c r="D290" s="94"/>
      <c r="E290" s="68" t="s">
        <v>1678</v>
      </c>
      <c r="F290" s="100"/>
      <c r="G290" s="97"/>
      <c r="H290" s="42"/>
      <c r="I290"/>
      <c r="J290"/>
      <c r="K290"/>
      <c r="L290"/>
      <c r="Q290"/>
    </row>
    <row r="291" spans="1:17" s="98" customFormat="1">
      <c r="A291" s="145"/>
      <c r="B291" s="35"/>
      <c r="C291" s="35"/>
      <c r="D291" s="94"/>
      <c r="E291" s="68" t="s">
        <v>1679</v>
      </c>
      <c r="F291" s="100"/>
      <c r="G291" s="97"/>
      <c r="H291" s="42"/>
      <c r="I291"/>
      <c r="J291"/>
      <c r="K291"/>
      <c r="L291"/>
      <c r="Q291"/>
    </row>
    <row r="292" spans="1:17" s="98" customFormat="1">
      <c r="A292" s="145"/>
      <c r="B292" s="35"/>
      <c r="C292" s="35"/>
      <c r="D292" s="94"/>
      <c r="E292" s="68" t="s">
        <v>1680</v>
      </c>
      <c r="F292" s="100"/>
      <c r="G292" s="97"/>
      <c r="H292" s="42"/>
      <c r="I292"/>
      <c r="J292"/>
      <c r="K292"/>
      <c r="L292"/>
      <c r="Q292"/>
    </row>
    <row r="293" spans="1:17" s="98" customFormat="1">
      <c r="A293" s="145"/>
      <c r="B293" s="35"/>
      <c r="C293" s="35"/>
      <c r="D293" s="94"/>
      <c r="E293" s="50"/>
      <c r="F293" s="100"/>
      <c r="G293" s="97"/>
      <c r="H293" s="42"/>
      <c r="I293"/>
      <c r="J293"/>
      <c r="K293"/>
      <c r="L293"/>
      <c r="Q293"/>
    </row>
    <row r="294" spans="1:17" s="98" customFormat="1" ht="25.5">
      <c r="A294" s="34">
        <f>MAX(A$1:A293)+1</f>
        <v>37</v>
      </c>
      <c r="B294" s="35"/>
      <c r="C294" s="36" t="s">
        <v>296</v>
      </c>
      <c r="D294" s="37"/>
      <c r="E294" s="38" t="s">
        <v>297</v>
      </c>
      <c r="F294" s="39"/>
      <c r="G294" s="40" t="s">
        <v>21</v>
      </c>
      <c r="H294" s="128">
        <v>4060.4</v>
      </c>
      <c r="I294"/>
      <c r="J294"/>
      <c r="K294"/>
      <c r="L294"/>
      <c r="Q294"/>
    </row>
    <row r="295" spans="1:17" s="98" customFormat="1" ht="25.5">
      <c r="A295" s="145"/>
      <c r="B295" s="35"/>
      <c r="C295" s="36"/>
      <c r="D295" s="67" t="s">
        <v>1425</v>
      </c>
      <c r="E295" s="71" t="s">
        <v>1426</v>
      </c>
      <c r="F295" s="46">
        <v>80</v>
      </c>
      <c r="G295" s="62" t="s">
        <v>21</v>
      </c>
      <c r="H295" s="124">
        <v>80</v>
      </c>
      <c r="I295"/>
      <c r="J295"/>
      <c r="K295"/>
      <c r="L295"/>
      <c r="Q295"/>
    </row>
    <row r="296" spans="1:17" s="98" customFormat="1">
      <c r="A296" s="145"/>
      <c r="B296" s="35"/>
      <c r="C296" s="36"/>
      <c r="D296" s="37"/>
      <c r="E296" s="65" t="s">
        <v>1681</v>
      </c>
      <c r="F296" s="39"/>
      <c r="G296" s="40"/>
      <c r="H296" s="128"/>
      <c r="I296"/>
      <c r="J296"/>
      <c r="K296"/>
      <c r="L296"/>
      <c r="Q296"/>
    </row>
    <row r="297" spans="1:17" s="98" customFormat="1" ht="38.25">
      <c r="A297" s="145"/>
      <c r="B297" s="35"/>
      <c r="C297" s="66"/>
      <c r="D297" s="67" t="s">
        <v>1026</v>
      </c>
      <c r="E297" s="71" t="s">
        <v>1027</v>
      </c>
      <c r="F297" s="61"/>
      <c r="G297" s="62" t="s">
        <v>21</v>
      </c>
      <c r="H297" s="124">
        <v>3980.4</v>
      </c>
      <c r="I297"/>
      <c r="J297"/>
      <c r="K297"/>
      <c r="L297"/>
      <c r="Q297"/>
    </row>
    <row r="298" spans="1:17" s="98" customFormat="1">
      <c r="A298" s="145"/>
      <c r="B298" s="35"/>
      <c r="C298" s="66"/>
      <c r="D298" s="67"/>
      <c r="E298" s="65" t="s">
        <v>1682</v>
      </c>
      <c r="F298" s="90">
        <v>3355.4</v>
      </c>
      <c r="G298" s="62"/>
      <c r="H298" s="42"/>
      <c r="I298"/>
      <c r="J298"/>
      <c r="K298"/>
      <c r="L298"/>
      <c r="Q298"/>
    </row>
    <row r="299" spans="1:17" s="98" customFormat="1">
      <c r="A299" s="145"/>
      <c r="B299" s="35"/>
      <c r="C299" s="66"/>
      <c r="D299" s="67"/>
      <c r="E299" s="65" t="s">
        <v>1682</v>
      </c>
      <c r="F299" s="138">
        <v>625</v>
      </c>
      <c r="G299" s="62"/>
      <c r="H299" s="42"/>
      <c r="I299"/>
      <c r="J299"/>
      <c r="K299"/>
      <c r="L299"/>
      <c r="Q299"/>
    </row>
    <row r="300" spans="1:17" s="98" customFormat="1">
      <c r="A300" s="145"/>
      <c r="B300" s="35"/>
      <c r="C300" s="66"/>
      <c r="D300" s="67"/>
      <c r="E300" s="65"/>
      <c r="F300" s="90">
        <f>SUM(F298:F299)</f>
        <v>3980.4</v>
      </c>
      <c r="G300" s="62"/>
      <c r="H300" s="42"/>
      <c r="I300"/>
      <c r="J300"/>
      <c r="K300"/>
      <c r="L300"/>
      <c r="Q300"/>
    </row>
    <row r="301" spans="1:17" s="98" customFormat="1">
      <c r="A301" s="145"/>
      <c r="B301" s="35"/>
      <c r="C301" s="66"/>
      <c r="D301" s="67"/>
      <c r="E301" s="71"/>
      <c r="F301" s="61"/>
      <c r="G301" s="62"/>
      <c r="H301" s="42"/>
      <c r="I301"/>
      <c r="J301"/>
      <c r="K301"/>
      <c r="L301"/>
      <c r="Q301"/>
    </row>
    <row r="302" spans="1:17" s="98" customFormat="1" ht="25.5">
      <c r="A302" s="34">
        <f>MAX(A$1:A301)+1</f>
        <v>38</v>
      </c>
      <c r="B302" s="35"/>
      <c r="C302" s="36" t="s">
        <v>298</v>
      </c>
      <c r="D302" s="37"/>
      <c r="E302" s="38" t="s">
        <v>299</v>
      </c>
      <c r="F302" s="39"/>
      <c r="G302" s="40" t="s">
        <v>18</v>
      </c>
      <c r="H302" s="128">
        <v>40.700000000000003</v>
      </c>
      <c r="I302" s="689"/>
      <c r="J302"/>
      <c r="K302"/>
      <c r="L302"/>
      <c r="Q302"/>
    </row>
    <row r="303" spans="1:17" s="98" customFormat="1" ht="25.5">
      <c r="A303" s="145"/>
      <c r="B303" s="35"/>
      <c r="C303" s="36"/>
      <c r="D303" s="67" t="s">
        <v>367</v>
      </c>
      <c r="E303" s="71" t="s">
        <v>368</v>
      </c>
      <c r="F303" s="61"/>
      <c r="G303" s="62" t="s">
        <v>18</v>
      </c>
      <c r="H303" s="124">
        <v>3.2</v>
      </c>
      <c r="I303"/>
      <c r="J303"/>
      <c r="K303"/>
      <c r="L303"/>
      <c r="Q303"/>
    </row>
    <row r="304" spans="1:17" s="98" customFormat="1" ht="25.5">
      <c r="A304" s="145"/>
      <c r="B304" s="35"/>
      <c r="C304" s="36"/>
      <c r="D304" s="37"/>
      <c r="E304" s="65" t="s">
        <v>1683</v>
      </c>
      <c r="F304" s="46">
        <f>0.04*80</f>
        <v>3.2</v>
      </c>
      <c r="G304" s="40"/>
      <c r="H304" s="128"/>
      <c r="I304"/>
      <c r="J304"/>
      <c r="K304"/>
      <c r="L304"/>
      <c r="Q304"/>
    </row>
    <row r="305" spans="1:17" s="98" customFormat="1" ht="25.5">
      <c r="A305" s="145"/>
      <c r="B305" s="35"/>
      <c r="C305" s="66"/>
      <c r="D305" s="67" t="s">
        <v>334</v>
      </c>
      <c r="E305" s="71" t="s">
        <v>335</v>
      </c>
      <c r="F305" s="61"/>
      <c r="G305" s="62" t="s">
        <v>18</v>
      </c>
      <c r="H305" s="124">
        <v>37.5</v>
      </c>
      <c r="I305"/>
      <c r="J305"/>
      <c r="K305"/>
      <c r="L305"/>
      <c r="Q305"/>
    </row>
    <row r="306" spans="1:17" s="98" customFormat="1" ht="26.25">
      <c r="A306" s="145"/>
      <c r="B306" s="35"/>
      <c r="C306" s="66"/>
      <c r="D306" s="67"/>
      <c r="E306" s="68" t="s">
        <v>1684</v>
      </c>
      <c r="F306" s="46">
        <f>0.06*625</f>
        <v>37.5</v>
      </c>
      <c r="G306" s="62"/>
      <c r="H306" s="42"/>
      <c r="I306"/>
      <c r="J306"/>
      <c r="K306"/>
      <c r="L306"/>
      <c r="Q306"/>
    </row>
    <row r="307" spans="1:17" s="98" customFormat="1">
      <c r="A307" s="145"/>
      <c r="B307" s="35"/>
      <c r="C307" s="35"/>
      <c r="D307" s="94"/>
      <c r="E307" s="50"/>
      <c r="F307" s="100"/>
      <c r="G307" s="97"/>
      <c r="H307" s="42"/>
      <c r="I307"/>
      <c r="J307"/>
      <c r="K307"/>
      <c r="L307"/>
      <c r="Q307"/>
    </row>
    <row r="308" spans="1:17" s="98" customFormat="1" ht="25.5">
      <c r="A308" s="34">
        <f>MAX(A$1:A307)+1</f>
        <v>39</v>
      </c>
      <c r="B308" s="35"/>
      <c r="C308" s="36" t="s">
        <v>300</v>
      </c>
      <c r="D308" s="37"/>
      <c r="E308" s="38" t="s">
        <v>301</v>
      </c>
      <c r="F308" s="39"/>
      <c r="G308" s="40" t="s">
        <v>18</v>
      </c>
      <c r="H308" s="64">
        <v>134.22</v>
      </c>
      <c r="I308"/>
      <c r="J308"/>
      <c r="K308"/>
      <c r="L308"/>
      <c r="Q308"/>
    </row>
    <row r="309" spans="1:17" s="98" customFormat="1" ht="25.5">
      <c r="A309" s="145"/>
      <c r="B309" s="35"/>
      <c r="C309" s="66"/>
      <c r="D309" s="67" t="s">
        <v>302</v>
      </c>
      <c r="E309" s="71" t="s">
        <v>303</v>
      </c>
      <c r="F309" s="61"/>
      <c r="G309" s="62" t="s">
        <v>18</v>
      </c>
      <c r="H309" s="83">
        <v>134.22</v>
      </c>
      <c r="I309"/>
      <c r="J309"/>
      <c r="K309"/>
      <c r="L309"/>
      <c r="Q309"/>
    </row>
    <row r="310" spans="1:17" s="98" customFormat="1" ht="25.5">
      <c r="A310" s="145"/>
      <c r="B310" s="35"/>
      <c r="C310" s="35"/>
      <c r="D310" s="94"/>
      <c r="E310" s="65" t="s">
        <v>1685</v>
      </c>
      <c r="F310" s="212">
        <f>0.04*3355.4</f>
        <v>134.21600000000001</v>
      </c>
      <c r="G310" s="97"/>
      <c r="H310" s="42"/>
      <c r="I310"/>
      <c r="J310"/>
      <c r="K310"/>
      <c r="L310"/>
      <c r="Q310"/>
    </row>
    <row r="311" spans="1:17" s="98" customFormat="1">
      <c r="A311" s="145"/>
      <c r="B311" s="35"/>
      <c r="C311" s="35"/>
      <c r="D311" s="94"/>
      <c r="E311" s="50"/>
      <c r="F311" s="100"/>
      <c r="G311" s="97"/>
      <c r="H311" s="42"/>
      <c r="I311"/>
      <c r="J311"/>
      <c r="K311"/>
      <c r="L311"/>
      <c r="Q311"/>
    </row>
    <row r="312" spans="1:17" s="98" customFormat="1" ht="25.5">
      <c r="A312" s="34">
        <f>MAX(A$1:A311)+1</f>
        <v>40</v>
      </c>
      <c r="B312" s="35"/>
      <c r="C312" s="36" t="s">
        <v>1033</v>
      </c>
      <c r="D312" s="37"/>
      <c r="E312" s="38" t="s">
        <v>1034</v>
      </c>
      <c r="F312" s="39"/>
      <c r="G312" s="40" t="s">
        <v>21</v>
      </c>
      <c r="H312" s="52">
        <v>322.5</v>
      </c>
      <c r="I312" s="719"/>
      <c r="J312"/>
      <c r="K312"/>
      <c r="L312"/>
      <c r="Q312"/>
    </row>
    <row r="313" spans="1:17" s="98" customFormat="1" ht="25.5">
      <c r="A313" s="145"/>
      <c r="B313" s="35"/>
      <c r="C313" s="36"/>
      <c r="D313" s="67" t="s">
        <v>1035</v>
      </c>
      <c r="E313" s="71" t="s">
        <v>1036</v>
      </c>
      <c r="F313" s="61"/>
      <c r="G313" s="62" t="s">
        <v>21</v>
      </c>
      <c r="H313" s="99">
        <v>322.5</v>
      </c>
      <c r="I313" s="266"/>
      <c r="J313"/>
      <c r="K313"/>
      <c r="L313"/>
      <c r="Q313"/>
    </row>
    <row r="314" spans="1:17" s="98" customFormat="1" ht="38.25">
      <c r="A314" s="145"/>
      <c r="B314" s="35"/>
      <c r="C314" s="35"/>
      <c r="D314" s="94"/>
      <c r="E314" s="65" t="s">
        <v>1686</v>
      </c>
      <c r="F314" s="212">
        <v>187.5</v>
      </c>
      <c r="G314" s="97"/>
      <c r="H314" s="42"/>
      <c r="I314"/>
      <c r="J314"/>
      <c r="K314"/>
      <c r="L314"/>
      <c r="Q314"/>
    </row>
    <row r="315" spans="1:17" s="98" customFormat="1" ht="25.5">
      <c r="A315" s="145"/>
      <c r="B315" s="35"/>
      <c r="C315" s="35"/>
      <c r="D315" s="94"/>
      <c r="E315" s="65" t="s">
        <v>1687</v>
      </c>
      <c r="F315" s="212">
        <v>6</v>
      </c>
      <c r="G315" s="97"/>
      <c r="H315" s="42"/>
      <c r="I315"/>
      <c r="J315"/>
      <c r="K315"/>
      <c r="L315"/>
      <c r="Q315"/>
    </row>
    <row r="316" spans="1:17" s="98" customFormat="1" ht="25.5">
      <c r="A316" s="145"/>
      <c r="B316" s="35"/>
      <c r="C316" s="35"/>
      <c r="D316" s="94"/>
      <c r="E316" s="65" t="s">
        <v>1688</v>
      </c>
      <c r="F316" s="213">
        <v>129</v>
      </c>
      <c r="G316" s="97"/>
      <c r="H316" s="42"/>
      <c r="I316"/>
      <c r="J316"/>
      <c r="K316"/>
      <c r="L316"/>
      <c r="Q316"/>
    </row>
    <row r="317" spans="1:17" s="98" customFormat="1">
      <c r="A317" s="145"/>
      <c r="B317" s="35"/>
      <c r="C317" s="35"/>
      <c r="D317" s="94"/>
      <c r="E317" s="65"/>
      <c r="F317" s="212">
        <f>SUM(F314:F316)</f>
        <v>322.5</v>
      </c>
      <c r="G317" s="97"/>
      <c r="H317" s="42"/>
      <c r="I317"/>
      <c r="J317"/>
      <c r="K317"/>
      <c r="L317"/>
      <c r="Q317"/>
    </row>
    <row r="318" spans="1:17" s="98" customFormat="1">
      <c r="A318" s="145"/>
      <c r="B318" s="35"/>
      <c r="C318" s="35"/>
      <c r="D318" s="94"/>
      <c r="E318" s="65"/>
      <c r="F318" s="212"/>
      <c r="G318" s="97"/>
      <c r="H318" s="42"/>
      <c r="I318"/>
      <c r="J318"/>
      <c r="K318"/>
      <c r="L318"/>
      <c r="Q318"/>
    </row>
    <row r="319" spans="1:17" s="98" customFormat="1" ht="25.5">
      <c r="A319" s="34">
        <f>MAX(A$1:A318)+1</f>
        <v>41</v>
      </c>
      <c r="B319" s="35"/>
      <c r="C319" s="36" t="s">
        <v>464</v>
      </c>
      <c r="D319" s="37"/>
      <c r="E319" s="38" t="s">
        <v>465</v>
      </c>
      <c r="F319" s="39"/>
      <c r="G319" s="40" t="s">
        <v>21</v>
      </c>
      <c r="H319" s="128">
        <v>1991</v>
      </c>
      <c r="I319" s="689"/>
      <c r="J319"/>
      <c r="K319"/>
      <c r="L319"/>
      <c r="Q319"/>
    </row>
    <row r="320" spans="1:17" s="98" customFormat="1" ht="25.5">
      <c r="A320" s="145"/>
      <c r="B320" s="35"/>
      <c r="C320" s="66"/>
      <c r="D320" s="67" t="s">
        <v>466</v>
      </c>
      <c r="E320" s="71" t="s">
        <v>467</v>
      </c>
      <c r="F320" s="61"/>
      <c r="G320" s="62" t="s">
        <v>21</v>
      </c>
      <c r="H320" s="124">
        <v>65</v>
      </c>
      <c r="I320"/>
      <c r="J320"/>
      <c r="K320"/>
      <c r="L320"/>
      <c r="Q320"/>
    </row>
    <row r="321" spans="1:17" s="98" customFormat="1" ht="38.25">
      <c r="A321" s="145"/>
      <c r="B321" s="35"/>
      <c r="C321" s="66"/>
      <c r="D321" s="67"/>
      <c r="E321" s="65" t="s">
        <v>1041</v>
      </c>
      <c r="F321" s="46">
        <v>50</v>
      </c>
      <c r="G321" s="62"/>
      <c r="H321" s="42"/>
      <c r="I321"/>
      <c r="J321"/>
      <c r="K321"/>
      <c r="L321"/>
      <c r="Q321"/>
    </row>
    <row r="322" spans="1:17" s="98" customFormat="1" ht="38.25">
      <c r="A322" s="145"/>
      <c r="B322" s="35"/>
      <c r="C322" s="66"/>
      <c r="D322" s="67"/>
      <c r="E322" s="65" t="s">
        <v>1042</v>
      </c>
      <c r="F322" s="69">
        <v>15</v>
      </c>
      <c r="G322" s="62"/>
      <c r="H322" s="42"/>
      <c r="I322"/>
      <c r="J322"/>
      <c r="K322"/>
      <c r="L322"/>
      <c r="Q322"/>
    </row>
    <row r="323" spans="1:17" s="98" customFormat="1">
      <c r="A323" s="145"/>
      <c r="B323" s="35"/>
      <c r="C323" s="66"/>
      <c r="D323" s="67"/>
      <c r="E323" s="71"/>
      <c r="F323" s="46">
        <f>SUM(F321:F322)</f>
        <v>65</v>
      </c>
      <c r="G323" s="62"/>
      <c r="H323" s="42"/>
      <c r="I323"/>
      <c r="J323"/>
      <c r="K323"/>
      <c r="L323"/>
      <c r="Q323"/>
    </row>
    <row r="324" spans="1:17" s="98" customFormat="1" ht="25.5">
      <c r="A324" s="145"/>
      <c r="B324" s="35"/>
      <c r="C324" s="66"/>
      <c r="D324" s="67" t="s">
        <v>488</v>
      </c>
      <c r="E324" s="71" t="s">
        <v>489</v>
      </c>
      <c r="F324" s="61"/>
      <c r="G324" s="62" t="s">
        <v>21</v>
      </c>
      <c r="H324" s="124">
        <v>1926</v>
      </c>
      <c r="I324" s="115"/>
      <c r="J324"/>
      <c r="K324"/>
      <c r="L324"/>
      <c r="Q324"/>
    </row>
    <row r="325" spans="1:17" s="98" customFormat="1" ht="38.25">
      <c r="A325" s="145"/>
      <c r="B325" s="35"/>
      <c r="C325" s="35"/>
      <c r="D325" s="94"/>
      <c r="E325" s="65" t="s">
        <v>1689</v>
      </c>
      <c r="F325" s="224">
        <v>1611</v>
      </c>
      <c r="G325" s="97"/>
      <c r="H325" s="42"/>
      <c r="I325"/>
      <c r="J325"/>
      <c r="K325"/>
      <c r="L325"/>
      <c r="Q325"/>
    </row>
    <row r="326" spans="1:17" s="98" customFormat="1" ht="25.5">
      <c r="A326" s="145"/>
      <c r="B326" s="35"/>
      <c r="C326" s="35"/>
      <c r="D326" s="94"/>
      <c r="E326" s="65" t="s">
        <v>1690</v>
      </c>
      <c r="F326" s="213">
        <v>315</v>
      </c>
      <c r="G326" s="97"/>
      <c r="H326" s="42"/>
      <c r="I326"/>
      <c r="J326"/>
      <c r="K326"/>
      <c r="L326"/>
      <c r="Q326"/>
    </row>
    <row r="327" spans="1:17" s="98" customFormat="1">
      <c r="A327" s="145"/>
      <c r="B327" s="35"/>
      <c r="C327" s="35"/>
      <c r="D327" s="94"/>
      <c r="E327" s="65"/>
      <c r="F327" s="224">
        <f>SUM(F325:F326)</f>
        <v>1926</v>
      </c>
      <c r="G327" s="97"/>
      <c r="H327" s="42"/>
      <c r="I327"/>
      <c r="J327"/>
      <c r="K327"/>
      <c r="L327"/>
      <c r="Q327"/>
    </row>
    <row r="328" spans="1:17" s="98" customFormat="1">
      <c r="A328" s="145"/>
      <c r="B328" s="35"/>
      <c r="C328" s="35"/>
      <c r="D328" s="94"/>
      <c r="E328" s="65"/>
      <c r="F328" s="224"/>
      <c r="G328" s="97"/>
      <c r="H328" s="42"/>
      <c r="I328"/>
      <c r="J328"/>
      <c r="K328"/>
      <c r="L328"/>
      <c r="Q328"/>
    </row>
    <row r="329" spans="1:17" s="98" customFormat="1" ht="25.5">
      <c r="A329" s="34">
        <f>MAX(A$1:A328)+1</f>
        <v>42</v>
      </c>
      <c r="B329" s="43"/>
      <c r="C329" s="36" t="s">
        <v>263</v>
      </c>
      <c r="D329" s="37"/>
      <c r="E329" s="38" t="s">
        <v>818</v>
      </c>
      <c r="F329" s="39"/>
      <c r="G329" s="40" t="s">
        <v>36</v>
      </c>
      <c r="H329" s="64">
        <v>2654</v>
      </c>
      <c r="I329"/>
      <c r="J329"/>
      <c r="K329"/>
      <c r="L329"/>
      <c r="Q329"/>
    </row>
    <row r="330" spans="1:17" s="98" customFormat="1" ht="25.5">
      <c r="A330" s="34"/>
      <c r="B330" s="43"/>
      <c r="C330" s="36"/>
      <c r="D330" s="37"/>
      <c r="E330" s="65" t="s">
        <v>1044</v>
      </c>
      <c r="F330" s="46">
        <v>45</v>
      </c>
      <c r="G330" s="40"/>
      <c r="H330" s="64"/>
      <c r="I330"/>
      <c r="J330"/>
      <c r="K330"/>
      <c r="L330"/>
      <c r="Q330"/>
    </row>
    <row r="331" spans="1:17" s="98" customFormat="1" ht="25.5">
      <c r="A331" s="34"/>
      <c r="B331" s="43"/>
      <c r="C331" s="36"/>
      <c r="D331" s="37"/>
      <c r="E331" s="65" t="s">
        <v>1045</v>
      </c>
      <c r="F331" s="46">
        <v>55</v>
      </c>
      <c r="G331" s="40"/>
      <c r="H331" s="64"/>
      <c r="I331"/>
      <c r="J331"/>
      <c r="K331"/>
      <c r="L331"/>
      <c r="Q331"/>
    </row>
    <row r="332" spans="1:17" s="98" customFormat="1" ht="25.5">
      <c r="A332" s="34"/>
      <c r="B332" s="43"/>
      <c r="C332" s="36"/>
      <c r="D332" s="37"/>
      <c r="E332" s="65" t="s">
        <v>1293</v>
      </c>
      <c r="F332" s="46">
        <v>802</v>
      </c>
      <c r="G332" s="40"/>
      <c r="H332" s="64"/>
      <c r="I332"/>
      <c r="J332"/>
      <c r="K332"/>
      <c r="L332"/>
      <c r="Q332"/>
    </row>
    <row r="333" spans="1:17" s="98" customFormat="1" ht="26.25">
      <c r="A333" s="283"/>
      <c r="B333" s="35"/>
      <c r="C333" s="35"/>
      <c r="D333" s="94"/>
      <c r="E333" s="68" t="s">
        <v>1292</v>
      </c>
      <c r="F333" s="90">
        <v>58</v>
      </c>
      <c r="G333" s="97"/>
      <c r="H333" s="124"/>
      <c r="I333"/>
      <c r="J333"/>
      <c r="K333"/>
      <c r="L333"/>
      <c r="Q333"/>
    </row>
    <row r="334" spans="1:17" s="98" customFormat="1">
      <c r="A334" s="145"/>
      <c r="B334" s="35"/>
      <c r="C334" s="35"/>
      <c r="D334" s="94"/>
      <c r="E334" s="68" t="s">
        <v>1691</v>
      </c>
      <c r="F334" s="138">
        <v>1694</v>
      </c>
      <c r="G334" s="97"/>
      <c r="H334" s="42"/>
      <c r="I334"/>
      <c r="J334"/>
      <c r="K334"/>
      <c r="L334"/>
      <c r="Q334"/>
    </row>
    <row r="335" spans="1:17" s="98" customFormat="1">
      <c r="A335" s="145"/>
      <c r="B335" s="35"/>
      <c r="C335" s="35"/>
      <c r="D335" s="94"/>
      <c r="E335" s="65"/>
      <c r="F335" s="224">
        <f>SUM(F330:F334)</f>
        <v>2654</v>
      </c>
      <c r="G335" s="97"/>
      <c r="H335" s="42"/>
      <c r="I335"/>
      <c r="J335"/>
      <c r="K335"/>
      <c r="L335"/>
      <c r="Q335"/>
    </row>
    <row r="336" spans="1:17" s="98" customFormat="1">
      <c r="A336" s="145"/>
      <c r="B336" s="35"/>
      <c r="C336" s="35"/>
      <c r="D336" s="94"/>
      <c r="E336" s="65"/>
      <c r="F336" s="212"/>
      <c r="G336" s="97"/>
      <c r="H336" s="75"/>
      <c r="I336"/>
      <c r="J336"/>
      <c r="K336"/>
      <c r="L336"/>
      <c r="Q336"/>
    </row>
    <row r="337" spans="1:17" s="98" customFormat="1" ht="25.5">
      <c r="A337" s="34">
        <f>MAX(A$1:A336)+1</f>
        <v>43</v>
      </c>
      <c r="B337" s="35"/>
      <c r="C337" s="36" t="s">
        <v>809</v>
      </c>
      <c r="D337" s="37"/>
      <c r="E337" s="38" t="s">
        <v>810</v>
      </c>
      <c r="F337" s="39"/>
      <c r="G337" s="40" t="s">
        <v>33</v>
      </c>
      <c r="H337" s="52">
        <v>1</v>
      </c>
      <c r="I337"/>
      <c r="J337"/>
      <c r="K337"/>
      <c r="L337"/>
      <c r="Q337"/>
    </row>
    <row r="338" spans="1:17" s="98" customFormat="1">
      <c r="A338" s="145"/>
      <c r="B338" s="35"/>
      <c r="C338" s="35"/>
      <c r="D338" s="94"/>
      <c r="E338" s="65" t="s">
        <v>1692</v>
      </c>
      <c r="F338" s="212">
        <v>1</v>
      </c>
      <c r="G338" s="97"/>
      <c r="H338" s="42"/>
      <c r="I338"/>
      <c r="J338"/>
      <c r="K338"/>
      <c r="L338"/>
      <c r="Q338"/>
    </row>
    <row r="339" spans="1:17" s="98" customFormat="1">
      <c r="A339" s="145"/>
      <c r="B339" s="35"/>
      <c r="C339" s="35"/>
      <c r="D339" s="94"/>
      <c r="E339" s="65"/>
      <c r="F339" s="212"/>
      <c r="G339" s="97"/>
      <c r="H339" s="42"/>
      <c r="I339"/>
      <c r="J339"/>
      <c r="K339"/>
      <c r="L339"/>
      <c r="Q339"/>
    </row>
    <row r="340" spans="1:17" s="98" customFormat="1" ht="25.5">
      <c r="A340" s="34">
        <f>MAX(A$1:A339)+1</f>
        <v>44</v>
      </c>
      <c r="B340" s="35"/>
      <c r="C340" s="36" t="s">
        <v>266</v>
      </c>
      <c r="D340" s="37"/>
      <c r="E340" s="38" t="s">
        <v>267</v>
      </c>
      <c r="F340" s="39"/>
      <c r="G340" s="40" t="s">
        <v>33</v>
      </c>
      <c r="H340" s="64">
        <v>27</v>
      </c>
      <c r="I340" s="689"/>
      <c r="J340"/>
      <c r="K340"/>
      <c r="L340"/>
      <c r="Q340"/>
    </row>
    <row r="341" spans="1:17" s="98" customFormat="1" ht="25.5">
      <c r="A341" s="145"/>
      <c r="B341" s="35"/>
      <c r="C341" s="35"/>
      <c r="D341" s="67" t="s">
        <v>268</v>
      </c>
      <c r="E341" s="71" t="s">
        <v>269</v>
      </c>
      <c r="F341" s="61"/>
      <c r="G341" s="62" t="s">
        <v>33</v>
      </c>
      <c r="H341" s="83">
        <v>27</v>
      </c>
      <c r="I341"/>
      <c r="J341"/>
      <c r="K341"/>
      <c r="L341"/>
      <c r="Q341"/>
    </row>
    <row r="342" spans="1:17" s="98" customFormat="1">
      <c r="A342" s="145"/>
      <c r="B342" s="35"/>
      <c r="C342" s="35"/>
      <c r="D342" s="94"/>
      <c r="E342" s="84" t="s">
        <v>1049</v>
      </c>
      <c r="F342" s="212"/>
      <c r="G342" s="97"/>
      <c r="H342" s="42"/>
      <c r="I342"/>
      <c r="J342"/>
      <c r="K342"/>
      <c r="L342"/>
      <c r="Q342"/>
    </row>
    <row r="343" spans="1:17" s="98" customFormat="1">
      <c r="A343" s="145"/>
      <c r="B343" s="35"/>
      <c r="C343" s="35"/>
      <c r="D343" s="94"/>
      <c r="E343" s="77" t="s">
        <v>1300</v>
      </c>
      <c r="F343" s="212">
        <v>3</v>
      </c>
      <c r="G343" s="97"/>
      <c r="H343" s="42"/>
      <c r="I343" s="208"/>
      <c r="J343"/>
      <c r="K343"/>
      <c r="L343"/>
      <c r="M343" s="699"/>
      <c r="Q343"/>
    </row>
    <row r="344" spans="1:17" s="98" customFormat="1">
      <c r="A344" s="145"/>
      <c r="B344" s="35"/>
      <c r="C344" s="35"/>
      <c r="D344" s="94"/>
      <c r="E344" s="77" t="s">
        <v>1693</v>
      </c>
      <c r="F344" s="212">
        <v>1</v>
      </c>
      <c r="G344" s="97"/>
      <c r="H344" s="42"/>
      <c r="I344"/>
      <c r="J344"/>
      <c r="K344"/>
      <c r="L344"/>
      <c r="M344" s="699"/>
      <c r="Q344"/>
    </row>
    <row r="345" spans="1:17" s="98" customFormat="1">
      <c r="A345" s="145"/>
      <c r="B345" s="35"/>
      <c r="C345" s="35"/>
      <c r="D345" s="94"/>
      <c r="E345" s="77" t="s">
        <v>1694</v>
      </c>
      <c r="F345" s="212">
        <v>1</v>
      </c>
      <c r="G345" s="97"/>
      <c r="H345" s="42"/>
      <c r="I345" s="208"/>
      <c r="J345"/>
      <c r="K345"/>
      <c r="L345"/>
      <c r="M345" s="699"/>
      <c r="Q345"/>
    </row>
    <row r="346" spans="1:17" s="98" customFormat="1" ht="25.5">
      <c r="A346" s="145"/>
      <c r="B346" s="35"/>
      <c r="C346" s="35"/>
      <c r="D346" s="94"/>
      <c r="E346" s="77" t="s">
        <v>1695</v>
      </c>
      <c r="F346" s="212">
        <v>2</v>
      </c>
      <c r="G346" s="97"/>
      <c r="H346" s="42"/>
      <c r="I346"/>
      <c r="J346"/>
      <c r="K346"/>
      <c r="L346"/>
      <c r="M346" s="699"/>
      <c r="Q346"/>
    </row>
    <row r="347" spans="1:17" s="98" customFormat="1" ht="25.5">
      <c r="A347" s="145"/>
      <c r="B347" s="35"/>
      <c r="C347" s="35"/>
      <c r="D347" s="94"/>
      <c r="E347" s="77" t="s">
        <v>1696</v>
      </c>
      <c r="F347" s="212">
        <v>2</v>
      </c>
      <c r="G347" s="97"/>
      <c r="H347" s="42"/>
      <c r="I347" s="208"/>
      <c r="J347"/>
      <c r="K347"/>
      <c r="L347"/>
      <c r="M347" s="699"/>
      <c r="Q347"/>
    </row>
    <row r="348" spans="1:17" s="98" customFormat="1" ht="25.5">
      <c r="A348" s="145"/>
      <c r="B348" s="35"/>
      <c r="C348" s="35"/>
      <c r="D348" s="94"/>
      <c r="E348" s="77" t="s">
        <v>1697</v>
      </c>
      <c r="F348" s="212">
        <v>2</v>
      </c>
      <c r="G348" s="97"/>
      <c r="H348" s="42"/>
      <c r="I348"/>
      <c r="J348"/>
      <c r="K348"/>
      <c r="L348"/>
      <c r="M348" s="699"/>
      <c r="Q348"/>
    </row>
    <row r="349" spans="1:17" s="98" customFormat="1" ht="25.5">
      <c r="A349" s="145"/>
      <c r="B349" s="35"/>
      <c r="C349" s="35"/>
      <c r="D349" s="94"/>
      <c r="E349" s="77" t="s">
        <v>1698</v>
      </c>
      <c r="F349" s="212">
        <v>1</v>
      </c>
      <c r="G349" s="97"/>
      <c r="H349" s="42"/>
      <c r="I349" s="208"/>
      <c r="J349"/>
      <c r="K349"/>
      <c r="L349"/>
      <c r="M349" s="699"/>
      <c r="Q349"/>
    </row>
    <row r="350" spans="1:17" s="98" customFormat="1" ht="25.5">
      <c r="A350" s="145"/>
      <c r="B350" s="35"/>
      <c r="C350" s="35"/>
      <c r="D350" s="94"/>
      <c r="E350" s="77" t="s">
        <v>1699</v>
      </c>
      <c r="F350" s="212">
        <v>1</v>
      </c>
      <c r="G350" s="97"/>
      <c r="H350" s="42"/>
      <c r="I350"/>
      <c r="J350"/>
      <c r="K350"/>
      <c r="L350"/>
      <c r="M350" s="699"/>
      <c r="Q350"/>
    </row>
    <row r="351" spans="1:17" s="98" customFormat="1">
      <c r="A351" s="145"/>
      <c r="B351" s="35"/>
      <c r="C351" s="35"/>
      <c r="D351" s="94"/>
      <c r="E351" s="77" t="s">
        <v>1052</v>
      </c>
      <c r="F351" s="212">
        <v>2</v>
      </c>
      <c r="G351" s="97"/>
      <c r="H351" s="42"/>
      <c r="I351" s="208"/>
      <c r="J351"/>
      <c r="K351"/>
      <c r="L351"/>
      <c r="M351" s="699"/>
      <c r="Q351"/>
    </row>
    <row r="352" spans="1:17" s="98" customFormat="1">
      <c r="A352" s="145"/>
      <c r="B352" s="35"/>
      <c r="C352" s="35"/>
      <c r="D352" s="94"/>
      <c r="E352" s="77" t="s">
        <v>1700</v>
      </c>
      <c r="F352" s="212">
        <v>1</v>
      </c>
      <c r="G352" s="97"/>
      <c r="H352" s="42"/>
      <c r="I352"/>
      <c r="J352"/>
      <c r="K352"/>
      <c r="L352"/>
      <c r="M352" s="699"/>
      <c r="Q352"/>
    </row>
    <row r="353" spans="1:17" s="98" customFormat="1" ht="25.5">
      <c r="A353" s="145"/>
      <c r="B353" s="35"/>
      <c r="C353" s="35"/>
      <c r="D353" s="94"/>
      <c r="E353" s="77" t="s">
        <v>1302</v>
      </c>
      <c r="F353" s="212">
        <v>7</v>
      </c>
      <c r="G353" s="97"/>
      <c r="H353" s="42"/>
      <c r="I353" s="208"/>
      <c r="J353"/>
      <c r="K353"/>
      <c r="L353"/>
      <c r="M353" s="699"/>
      <c r="Q353"/>
    </row>
    <row r="354" spans="1:17" s="98" customFormat="1">
      <c r="A354" s="145"/>
      <c r="B354" s="35"/>
      <c r="C354" s="35"/>
      <c r="D354" s="94"/>
      <c r="E354" s="77" t="s">
        <v>1701</v>
      </c>
      <c r="F354" s="212">
        <v>1</v>
      </c>
      <c r="G354" s="97"/>
      <c r="H354" s="42"/>
      <c r="I354"/>
      <c r="J354"/>
      <c r="K354"/>
      <c r="L354"/>
      <c r="M354" s="699"/>
      <c r="Q354"/>
    </row>
    <row r="355" spans="1:17" s="98" customFormat="1">
      <c r="A355" s="145"/>
      <c r="B355" s="35"/>
      <c r="C355" s="35"/>
      <c r="D355" s="94"/>
      <c r="E355" s="77" t="s">
        <v>1702</v>
      </c>
      <c r="F355" s="212">
        <v>1</v>
      </c>
      <c r="G355" s="97"/>
      <c r="H355" s="42"/>
      <c r="I355" s="208"/>
      <c r="J355"/>
      <c r="K355"/>
      <c r="L355"/>
      <c r="M355" s="699"/>
      <c r="Q355"/>
    </row>
    <row r="356" spans="1:17" s="98" customFormat="1" ht="25.5">
      <c r="A356" s="145"/>
      <c r="B356" s="35"/>
      <c r="C356" s="35"/>
      <c r="D356" s="94"/>
      <c r="E356" s="77" t="s">
        <v>1060</v>
      </c>
      <c r="F356" s="213">
        <v>2</v>
      </c>
      <c r="G356" s="97"/>
      <c r="H356" s="42"/>
      <c r="I356" s="208"/>
      <c r="J356"/>
      <c r="K356"/>
      <c r="L356"/>
      <c r="M356" s="699"/>
      <c r="Q356"/>
    </row>
    <row r="357" spans="1:17" s="98" customFormat="1">
      <c r="A357" s="145"/>
      <c r="B357" s="35"/>
      <c r="C357" s="35"/>
      <c r="D357" s="94"/>
      <c r="E357" s="77"/>
      <c r="F357" s="212">
        <f>SUM(F343:F356)</f>
        <v>27</v>
      </c>
      <c r="G357" s="97"/>
      <c r="H357" s="42"/>
      <c r="I357"/>
      <c r="J357"/>
      <c r="K357"/>
      <c r="L357"/>
      <c r="Q357"/>
    </row>
    <row r="358" spans="1:17" s="98" customFormat="1">
      <c r="A358" s="145"/>
      <c r="B358" s="35"/>
      <c r="C358" s="35"/>
      <c r="D358" s="94"/>
      <c r="E358" s="77" t="s">
        <v>1703</v>
      </c>
      <c r="F358" s="212"/>
      <c r="G358" s="97"/>
      <c r="H358" s="42"/>
      <c r="I358"/>
      <c r="J358"/>
      <c r="K358"/>
      <c r="L358"/>
      <c r="Q358"/>
    </row>
    <row r="359" spans="1:17" s="98" customFormat="1">
      <c r="A359" s="145"/>
      <c r="B359" s="35"/>
      <c r="C359" s="35"/>
      <c r="D359" s="94"/>
      <c r="E359" s="50"/>
      <c r="F359" s="100"/>
      <c r="G359" s="97"/>
      <c r="H359" s="42"/>
      <c r="I359"/>
      <c r="J359"/>
      <c r="K359"/>
      <c r="L359"/>
      <c r="Q359"/>
    </row>
    <row r="360" spans="1:17" s="98" customFormat="1">
      <c r="A360" s="34">
        <f>MAX(A$1:A359)+1</f>
        <v>45</v>
      </c>
      <c r="B360" s="35"/>
      <c r="C360" s="36" t="s">
        <v>373</v>
      </c>
      <c r="D360" s="37"/>
      <c r="E360" s="38" t="s">
        <v>374</v>
      </c>
      <c r="F360" s="39"/>
      <c r="G360" s="40" t="s">
        <v>36</v>
      </c>
      <c r="H360" s="64">
        <v>588.29999999999995</v>
      </c>
      <c r="I360"/>
      <c r="J360"/>
      <c r="K360"/>
      <c r="L360"/>
      <c r="Q360"/>
    </row>
    <row r="361" spans="1:17" s="98" customFormat="1">
      <c r="A361" s="145"/>
      <c r="B361" s="35"/>
      <c r="C361" s="66"/>
      <c r="D361" s="67" t="s">
        <v>1320</v>
      </c>
      <c r="E361" s="71" t="s">
        <v>1321</v>
      </c>
      <c r="F361" s="61"/>
      <c r="G361" s="62" t="s">
        <v>36</v>
      </c>
      <c r="H361" s="83">
        <v>588.29999999999995</v>
      </c>
      <c r="I361"/>
      <c r="J361"/>
      <c r="K361"/>
      <c r="L361"/>
      <c r="Q361"/>
    </row>
    <row r="362" spans="1:17" s="98" customFormat="1" ht="51">
      <c r="A362" s="145"/>
      <c r="B362" s="35"/>
      <c r="C362" s="35"/>
      <c r="D362" s="94"/>
      <c r="E362" s="65" t="s">
        <v>1704</v>
      </c>
      <c r="F362" s="212">
        <v>588.29999999999995</v>
      </c>
      <c r="G362" s="97"/>
      <c r="H362" s="42"/>
      <c r="I362"/>
      <c r="J362"/>
      <c r="K362"/>
      <c r="L362"/>
      <c r="Q362"/>
    </row>
    <row r="363" spans="1:17" s="98" customFormat="1">
      <c r="A363" s="145"/>
      <c r="B363" s="35"/>
      <c r="C363" s="35"/>
      <c r="D363" s="94"/>
      <c r="E363" s="65"/>
      <c r="F363" s="212"/>
      <c r="G363" s="97"/>
      <c r="H363" s="42"/>
      <c r="I363"/>
      <c r="J363"/>
      <c r="K363"/>
      <c r="L363"/>
      <c r="Q363"/>
    </row>
    <row r="364" spans="1:17" s="98" customFormat="1">
      <c r="A364" s="34">
        <f>MAX(A$1:A363)+1</f>
        <v>46</v>
      </c>
      <c r="B364" s="35"/>
      <c r="C364" s="36" t="s">
        <v>377</v>
      </c>
      <c r="D364" s="37"/>
      <c r="E364" s="38" t="s">
        <v>378</v>
      </c>
      <c r="F364" s="39"/>
      <c r="G364" s="40" t="s">
        <v>36</v>
      </c>
      <c r="H364" s="64">
        <v>447.69</v>
      </c>
      <c r="I364" s="115"/>
      <c r="J364"/>
      <c r="K364"/>
      <c r="L364"/>
      <c r="Q364"/>
    </row>
    <row r="365" spans="1:17" s="98" customFormat="1">
      <c r="A365" s="145"/>
      <c r="B365" s="35"/>
      <c r="C365" s="66"/>
      <c r="D365" s="67" t="s">
        <v>1324</v>
      </c>
      <c r="E365" s="71" t="s">
        <v>1325</v>
      </c>
      <c r="F365" s="61"/>
      <c r="G365" s="62" t="s">
        <v>36</v>
      </c>
      <c r="H365" s="83">
        <v>447.69</v>
      </c>
      <c r="I365"/>
      <c r="J365"/>
      <c r="K365"/>
      <c r="L365"/>
      <c r="Q365"/>
    </row>
    <row r="366" spans="1:17" s="98" customFormat="1" ht="25.5">
      <c r="A366" s="145"/>
      <c r="B366" s="35"/>
      <c r="C366" s="35"/>
      <c r="D366" s="94"/>
      <c r="E366" s="65" t="s">
        <v>1705</v>
      </c>
      <c r="F366" s="212">
        <v>447.69</v>
      </c>
      <c r="G366" s="97"/>
      <c r="H366" s="42"/>
      <c r="I366"/>
      <c r="J366"/>
      <c r="K366"/>
      <c r="L366"/>
      <c r="Q366"/>
    </row>
    <row r="367" spans="1:17" s="98" customFormat="1">
      <c r="A367" s="145"/>
      <c r="B367" s="35"/>
      <c r="C367" s="35"/>
      <c r="D367" s="94"/>
      <c r="E367" s="65"/>
      <c r="F367" s="212"/>
      <c r="G367" s="97"/>
      <c r="H367" s="42"/>
      <c r="I367"/>
      <c r="J367"/>
      <c r="K367"/>
      <c r="L367"/>
      <c r="Q367"/>
    </row>
    <row r="368" spans="1:17" s="98" customFormat="1" ht="25.5">
      <c r="A368" s="220">
        <f>MAX(A$1:A366)+1</f>
        <v>47</v>
      </c>
      <c r="B368" s="43"/>
      <c r="C368" s="36" t="s">
        <v>304</v>
      </c>
      <c r="D368" s="37"/>
      <c r="E368" s="38" t="s">
        <v>305</v>
      </c>
      <c r="F368" s="39"/>
      <c r="G368" s="40" t="s">
        <v>21</v>
      </c>
      <c r="H368" s="52">
        <v>253.3</v>
      </c>
      <c r="I368"/>
      <c r="J368"/>
      <c r="K368"/>
      <c r="L368"/>
      <c r="Q368"/>
    </row>
    <row r="369" spans="1:17" s="98" customFormat="1" ht="25.5">
      <c r="A369" s="178"/>
      <c r="B369" s="217"/>
      <c r="C369" s="217"/>
      <c r="D369" s="67" t="s">
        <v>306</v>
      </c>
      <c r="E369" s="71" t="s">
        <v>307</v>
      </c>
      <c r="F369" s="61"/>
      <c r="G369" s="218" t="s">
        <v>21</v>
      </c>
      <c r="H369" s="99">
        <v>253.3</v>
      </c>
      <c r="I369"/>
      <c r="J369"/>
      <c r="K369"/>
      <c r="L369"/>
      <c r="Q369"/>
    </row>
    <row r="370" spans="1:17" s="98" customFormat="1" ht="25.5">
      <c r="A370" s="72"/>
      <c r="B370" s="73"/>
      <c r="C370" s="66"/>
      <c r="D370" s="67"/>
      <c r="E370" s="65" t="s">
        <v>1069</v>
      </c>
      <c r="F370" s="46">
        <v>253.3</v>
      </c>
      <c r="G370" s="62"/>
      <c r="H370" s="42"/>
      <c r="I370"/>
      <c r="J370"/>
      <c r="K370"/>
      <c r="L370"/>
      <c r="Q370"/>
    </row>
    <row r="371" spans="1:17" s="98" customFormat="1">
      <c r="A371" s="145"/>
      <c r="B371" s="35"/>
      <c r="C371" s="35"/>
      <c r="D371" s="94"/>
      <c r="E371" s="65"/>
      <c r="F371" s="212"/>
      <c r="G371" s="97"/>
      <c r="H371" s="42"/>
      <c r="I371"/>
      <c r="J371"/>
      <c r="K371"/>
      <c r="L371"/>
      <c r="Q371"/>
    </row>
    <row r="372" spans="1:17" ht="25.5">
      <c r="A372" s="105"/>
      <c r="B372" s="35" t="s">
        <v>270</v>
      </c>
      <c r="C372" s="35"/>
      <c r="D372" s="94"/>
      <c r="E372" s="211" t="s">
        <v>271</v>
      </c>
      <c r="F372" s="46"/>
      <c r="G372" s="62"/>
      <c r="H372" s="74"/>
    </row>
    <row r="373" spans="1:17">
      <c r="A373" s="105"/>
      <c r="B373" s="35"/>
      <c r="C373" s="35"/>
      <c r="D373" s="94"/>
      <c r="E373" s="211"/>
      <c r="F373" s="46"/>
      <c r="G373" s="62"/>
      <c r="H373" s="74"/>
    </row>
    <row r="374" spans="1:17" ht="25.5">
      <c r="A374" s="34">
        <f>MAX(A$1:A373)+1</f>
        <v>48</v>
      </c>
      <c r="B374" s="35"/>
      <c r="C374" s="36" t="s">
        <v>385</v>
      </c>
      <c r="D374" s="37"/>
      <c r="E374" s="38" t="s">
        <v>386</v>
      </c>
      <c r="F374" s="39"/>
      <c r="G374" s="40" t="s">
        <v>18</v>
      </c>
      <c r="H374" s="52">
        <v>592.27</v>
      </c>
      <c r="I374" s="689"/>
    </row>
    <row r="375" spans="1:17" ht="25.5">
      <c r="A375" s="105"/>
      <c r="B375" s="35"/>
      <c r="C375" s="35"/>
      <c r="D375" s="94"/>
      <c r="E375" s="65" t="s">
        <v>1706</v>
      </c>
      <c r="F375" s="46">
        <f>0.2*450</f>
        <v>90</v>
      </c>
      <c r="G375" s="62"/>
      <c r="H375" s="74"/>
    </row>
    <row r="376" spans="1:17" ht="25.5">
      <c r="A376" s="105"/>
      <c r="B376" s="35"/>
      <c r="C376" s="35"/>
      <c r="D376" s="94"/>
      <c r="E376" s="65" t="s">
        <v>1707</v>
      </c>
      <c r="F376" s="46">
        <f>0.19*275</f>
        <v>52.25</v>
      </c>
      <c r="G376" s="62"/>
      <c r="H376" s="74"/>
    </row>
    <row r="377" spans="1:17" ht="25.5">
      <c r="A377" s="105"/>
      <c r="B377" s="35"/>
      <c r="C377" s="35"/>
      <c r="D377" s="94"/>
      <c r="E377" s="65" t="s">
        <v>1708</v>
      </c>
      <c r="F377" s="46">
        <f>0.2*2190.1</f>
        <v>438.02</v>
      </c>
      <c r="G377" s="62"/>
      <c r="H377" s="74"/>
    </row>
    <row r="378" spans="1:17" ht="25.5">
      <c r="A378" s="105"/>
      <c r="B378" s="35"/>
      <c r="C378" s="35"/>
      <c r="D378" s="94"/>
      <c r="E378" s="65" t="s">
        <v>1709</v>
      </c>
      <c r="F378" s="69">
        <f>0.15*80</f>
        <v>12</v>
      </c>
      <c r="G378" s="62"/>
      <c r="H378" s="74"/>
    </row>
    <row r="379" spans="1:17">
      <c r="A379" s="105"/>
      <c r="B379" s="35"/>
      <c r="C379" s="35"/>
      <c r="D379" s="94"/>
      <c r="E379" s="65"/>
      <c r="F379" s="46">
        <f>SUM(F375:F378)</f>
        <v>592.27</v>
      </c>
      <c r="G379" s="62"/>
      <c r="H379" s="74"/>
    </row>
    <row r="380" spans="1:17">
      <c r="A380" s="105"/>
      <c r="B380" s="35"/>
      <c r="C380" s="35"/>
      <c r="D380" s="94"/>
      <c r="E380" s="65"/>
      <c r="F380" s="46"/>
      <c r="G380" s="62"/>
      <c r="H380" s="74"/>
    </row>
    <row r="381" spans="1:17" ht="25.5">
      <c r="A381" s="34">
        <f>MAX(A$1:A380)+1</f>
        <v>49</v>
      </c>
      <c r="B381" s="35"/>
      <c r="C381" s="36" t="s">
        <v>272</v>
      </c>
      <c r="D381" s="37"/>
      <c r="E381" s="38" t="s">
        <v>273</v>
      </c>
      <c r="F381" s="39"/>
      <c r="G381" s="40" t="s">
        <v>18</v>
      </c>
      <c r="H381" s="64">
        <v>20</v>
      </c>
    </row>
    <row r="382" spans="1:17" ht="25.5">
      <c r="A382" s="105"/>
      <c r="B382" s="35"/>
      <c r="C382" s="66"/>
      <c r="D382" s="67" t="s">
        <v>274</v>
      </c>
      <c r="E382" s="71" t="s">
        <v>275</v>
      </c>
      <c r="F382" s="61"/>
      <c r="G382" s="62" t="s">
        <v>18</v>
      </c>
      <c r="H382" s="83">
        <v>20</v>
      </c>
    </row>
    <row r="383" spans="1:17">
      <c r="A383" s="105"/>
      <c r="B383" s="35"/>
      <c r="C383" s="35"/>
      <c r="D383" s="94"/>
      <c r="E383" s="65" t="s">
        <v>877</v>
      </c>
      <c r="F383" s="46">
        <f>F200</f>
        <v>20</v>
      </c>
      <c r="G383" s="62"/>
      <c r="H383" s="74"/>
    </row>
    <row r="384" spans="1:17">
      <c r="A384" s="105"/>
      <c r="B384" s="35"/>
      <c r="C384" s="35"/>
      <c r="D384" s="94"/>
      <c r="E384" s="65"/>
      <c r="F384" s="46"/>
      <c r="G384" s="62"/>
      <c r="H384" s="74"/>
    </row>
    <row r="385" spans="1:9" ht="25.5">
      <c r="A385" s="34">
        <f>MAX(A$1:A384)+1</f>
        <v>50</v>
      </c>
      <c r="B385" s="35"/>
      <c r="C385" s="36" t="s">
        <v>308</v>
      </c>
      <c r="D385" s="37"/>
      <c r="E385" s="38" t="s">
        <v>309</v>
      </c>
      <c r="F385" s="39"/>
      <c r="G385" s="40" t="s">
        <v>18</v>
      </c>
      <c r="H385" s="64">
        <v>23.63</v>
      </c>
      <c r="I385" s="54"/>
    </row>
    <row r="386" spans="1:9" ht="25.5">
      <c r="A386" s="105"/>
      <c r="B386" s="35"/>
      <c r="C386" s="35"/>
      <c r="D386" s="94"/>
      <c r="E386" s="65" t="s">
        <v>1710</v>
      </c>
      <c r="F386" s="46">
        <f>0.15*157.5</f>
        <v>23.625</v>
      </c>
      <c r="G386" s="62"/>
      <c r="H386" s="74"/>
    </row>
    <row r="387" spans="1:9">
      <c r="A387" s="105"/>
      <c r="B387" s="35"/>
      <c r="C387" s="35"/>
      <c r="D387" s="94"/>
      <c r="E387" s="65"/>
      <c r="F387" s="46"/>
      <c r="G387" s="62"/>
      <c r="H387" s="74"/>
    </row>
    <row r="388" spans="1:9" ht="25.5">
      <c r="A388" s="34">
        <f>MAX(A$1:A387)+1</f>
        <v>51</v>
      </c>
      <c r="B388" s="35"/>
      <c r="C388" s="36" t="s">
        <v>430</v>
      </c>
      <c r="D388" s="37"/>
      <c r="E388" s="38" t="s">
        <v>431</v>
      </c>
      <c r="F388" s="39"/>
      <c r="G388" s="40" t="s">
        <v>18</v>
      </c>
      <c r="H388" s="64">
        <v>372.97</v>
      </c>
      <c r="I388" s="689"/>
    </row>
    <row r="389" spans="1:9" ht="38.25">
      <c r="A389" s="145"/>
      <c r="B389" s="35"/>
      <c r="C389" s="36"/>
      <c r="D389" s="67" t="s">
        <v>1077</v>
      </c>
      <c r="E389" s="71" t="s">
        <v>1078</v>
      </c>
      <c r="F389" s="61"/>
      <c r="G389" s="62" t="s">
        <v>18</v>
      </c>
      <c r="H389" s="83">
        <v>260.47000000000003</v>
      </c>
    </row>
    <row r="390" spans="1:9" ht="25.5">
      <c r="A390" s="145"/>
      <c r="B390" s="35"/>
      <c r="C390" s="36"/>
      <c r="D390" s="37"/>
      <c r="E390" s="65" t="s">
        <v>1711</v>
      </c>
      <c r="F390" s="46">
        <f>0.12*2090.55</f>
        <v>250.86600000000001</v>
      </c>
      <c r="G390" s="40"/>
      <c r="H390" s="64"/>
      <c r="I390" s="208"/>
    </row>
    <row r="391" spans="1:9" ht="25.5">
      <c r="A391" s="145"/>
      <c r="B391" s="35"/>
      <c r="C391" s="36"/>
      <c r="D391" s="37"/>
      <c r="E391" s="65" t="s">
        <v>1712</v>
      </c>
      <c r="F391" s="69">
        <f>0.12*80</f>
        <v>9.6</v>
      </c>
      <c r="G391" s="40"/>
      <c r="H391" s="64"/>
      <c r="I391" s="208"/>
    </row>
    <row r="392" spans="1:9">
      <c r="A392" s="145"/>
      <c r="B392" s="35"/>
      <c r="C392" s="36"/>
      <c r="D392" s="37"/>
      <c r="E392" s="65"/>
      <c r="F392" s="46">
        <f>SUM(F390:F391)</f>
        <v>260.46600000000001</v>
      </c>
      <c r="G392" s="40"/>
      <c r="H392" s="64"/>
    </row>
    <row r="393" spans="1:9" ht="39">
      <c r="A393" s="105"/>
      <c r="B393" s="35"/>
      <c r="C393" s="35"/>
      <c r="D393" s="67" t="s">
        <v>1082</v>
      </c>
      <c r="E393" s="61" t="s">
        <v>1083</v>
      </c>
      <c r="F393" s="61"/>
      <c r="G393" s="62" t="s">
        <v>18</v>
      </c>
      <c r="H393" s="83">
        <v>112.5</v>
      </c>
    </row>
    <row r="394" spans="1:9" ht="25.5">
      <c r="A394" s="105"/>
      <c r="B394" s="35"/>
      <c r="C394" s="35"/>
      <c r="D394" s="94"/>
      <c r="E394" s="65" t="s">
        <v>1713</v>
      </c>
      <c r="F394" s="46">
        <f>0.25*450</f>
        <v>112.5</v>
      </c>
      <c r="G394" s="62"/>
      <c r="H394" s="74"/>
      <c r="I394" s="208"/>
    </row>
    <row r="395" spans="1:9">
      <c r="A395" s="105"/>
      <c r="B395" s="35"/>
      <c r="C395" s="35"/>
      <c r="D395" s="94"/>
      <c r="E395" s="65"/>
      <c r="F395" s="46"/>
      <c r="G395" s="62"/>
      <c r="H395" s="74"/>
    </row>
    <row r="396" spans="1:9" ht="25.5">
      <c r="A396" s="34">
        <f>MAX(A$1:A395)+1</f>
        <v>52</v>
      </c>
      <c r="B396" s="35"/>
      <c r="C396" s="36" t="s">
        <v>312</v>
      </c>
      <c r="D396" s="37"/>
      <c r="E396" s="38" t="s">
        <v>313</v>
      </c>
      <c r="F396" s="39"/>
      <c r="G396" s="40" t="s">
        <v>21</v>
      </c>
      <c r="H396" s="64">
        <v>450</v>
      </c>
    </row>
    <row r="397" spans="1:9" ht="38.25">
      <c r="A397" s="105"/>
      <c r="B397" s="35"/>
      <c r="C397" s="66"/>
      <c r="D397" s="67" t="s">
        <v>1088</v>
      </c>
      <c r="E397" s="71" t="s">
        <v>1089</v>
      </c>
      <c r="F397" s="61"/>
      <c r="G397" s="62" t="s">
        <v>21</v>
      </c>
      <c r="H397" s="83">
        <v>450</v>
      </c>
    </row>
    <row r="398" spans="1:9">
      <c r="A398" s="105"/>
      <c r="B398" s="35"/>
      <c r="C398" s="35"/>
      <c r="D398" s="94"/>
      <c r="E398" s="65" t="s">
        <v>1586</v>
      </c>
      <c r="F398" s="46">
        <v>450</v>
      </c>
      <c r="G398" s="62"/>
      <c r="H398" s="74"/>
    </row>
    <row r="399" spans="1:9">
      <c r="A399" s="105"/>
      <c r="B399" s="35"/>
      <c r="C399" s="35"/>
      <c r="D399" s="94"/>
      <c r="E399" s="65"/>
      <c r="F399" s="46"/>
      <c r="G399" s="62"/>
      <c r="H399" s="74"/>
    </row>
    <row r="400" spans="1:9" ht="25.5">
      <c r="A400" s="34">
        <f>MAX(A$1:A399)+1</f>
        <v>53</v>
      </c>
      <c r="B400" s="35"/>
      <c r="C400" s="36" t="s">
        <v>314</v>
      </c>
      <c r="D400" s="37"/>
      <c r="E400" s="38" t="s">
        <v>315</v>
      </c>
      <c r="F400" s="39"/>
      <c r="G400" s="40" t="s">
        <v>18</v>
      </c>
      <c r="H400" s="64">
        <v>43.750000000000007</v>
      </c>
      <c r="I400" s="689"/>
    </row>
    <row r="401" spans="1:8" ht="38.25">
      <c r="A401" s="105"/>
      <c r="B401" s="35"/>
      <c r="C401" s="66"/>
      <c r="D401" s="67" t="s">
        <v>316</v>
      </c>
      <c r="E401" s="71" t="s">
        <v>317</v>
      </c>
      <c r="F401" s="61"/>
      <c r="G401" s="62" t="s">
        <v>18</v>
      </c>
      <c r="H401" s="83">
        <v>43.750000000000007</v>
      </c>
    </row>
    <row r="402" spans="1:8" ht="25.5">
      <c r="A402" s="105"/>
      <c r="B402" s="35"/>
      <c r="C402" s="35"/>
      <c r="D402" s="94"/>
      <c r="E402" s="65" t="s">
        <v>1714</v>
      </c>
      <c r="F402" s="46">
        <f>0.07*625</f>
        <v>43.750000000000007</v>
      </c>
      <c r="G402" s="62"/>
      <c r="H402" s="74"/>
    </row>
    <row r="403" spans="1:8">
      <c r="A403" s="105"/>
      <c r="B403" s="35"/>
      <c r="C403" s="35"/>
      <c r="D403" s="94"/>
      <c r="E403" s="65"/>
      <c r="F403" s="46"/>
      <c r="G403" s="62"/>
      <c r="H403" s="74"/>
    </row>
    <row r="404" spans="1:8" ht="25.5">
      <c r="A404" s="105"/>
      <c r="B404" s="35" t="s">
        <v>129</v>
      </c>
      <c r="C404" s="35"/>
      <c r="D404" s="94"/>
      <c r="E404" s="50" t="s">
        <v>130</v>
      </c>
      <c r="F404" s="46"/>
      <c r="G404" s="62"/>
      <c r="H404" s="74"/>
    </row>
    <row r="405" spans="1:8">
      <c r="A405" s="105"/>
      <c r="B405" s="35"/>
      <c r="C405" s="35"/>
      <c r="D405" s="94"/>
      <c r="E405" s="50"/>
      <c r="F405" s="46"/>
      <c r="G405" s="62"/>
      <c r="H405" s="74"/>
    </row>
    <row r="406" spans="1:8" ht="25.5">
      <c r="A406" s="34">
        <f>MAX(A$1:A405)+1</f>
        <v>54</v>
      </c>
      <c r="B406" s="43"/>
      <c r="C406" s="36" t="s">
        <v>387</v>
      </c>
      <c r="D406" s="37"/>
      <c r="E406" s="38" t="s">
        <v>388</v>
      </c>
      <c r="F406" s="39"/>
      <c r="G406" s="40" t="s">
        <v>18</v>
      </c>
      <c r="H406" s="52">
        <v>4.2</v>
      </c>
    </row>
    <row r="407" spans="1:8" ht="25.5">
      <c r="A407" s="72"/>
      <c r="B407" s="73"/>
      <c r="C407" s="66"/>
      <c r="D407" s="191" t="s">
        <v>391</v>
      </c>
      <c r="E407" s="193" t="s">
        <v>392</v>
      </c>
      <c r="F407" s="192"/>
      <c r="G407" s="32" t="s">
        <v>18</v>
      </c>
      <c r="H407" s="99">
        <v>4.2</v>
      </c>
    </row>
    <row r="408" spans="1:8">
      <c r="A408" s="34"/>
      <c r="B408" s="43"/>
      <c r="C408" s="36"/>
      <c r="D408" s="37"/>
      <c r="E408" s="65" t="s">
        <v>1715</v>
      </c>
      <c r="F408" s="46">
        <f>F416</f>
        <v>4.2</v>
      </c>
      <c r="G408" s="40"/>
      <c r="H408" s="42"/>
    </row>
    <row r="409" spans="1:8">
      <c r="A409" s="145"/>
      <c r="B409" s="43"/>
      <c r="C409" s="36"/>
      <c r="D409" s="37"/>
      <c r="E409" s="65"/>
      <c r="F409" s="46"/>
      <c r="G409" s="40"/>
      <c r="H409" s="42"/>
    </row>
    <row r="410" spans="1:8">
      <c r="A410" s="34">
        <f>MAX(A$1:A409)+1</f>
        <v>55</v>
      </c>
      <c r="B410" s="43"/>
      <c r="C410" s="36" t="s">
        <v>426</v>
      </c>
      <c r="D410" s="37"/>
      <c r="E410" s="38" t="s">
        <v>427</v>
      </c>
      <c r="F410" s="39"/>
      <c r="G410" s="40" t="s">
        <v>18</v>
      </c>
      <c r="H410" s="52">
        <v>4.2</v>
      </c>
    </row>
    <row r="411" spans="1:8" ht="25.5">
      <c r="A411" s="145"/>
      <c r="B411" s="43"/>
      <c r="C411" s="66"/>
      <c r="D411" s="67" t="s">
        <v>428</v>
      </c>
      <c r="E411" s="71" t="s">
        <v>429</v>
      </c>
      <c r="F411" s="61"/>
      <c r="G411" s="62" t="s">
        <v>18</v>
      </c>
      <c r="H411" s="99">
        <v>4.2</v>
      </c>
    </row>
    <row r="412" spans="1:8">
      <c r="A412" s="145"/>
      <c r="B412" s="43"/>
      <c r="C412" s="36"/>
      <c r="D412" s="37"/>
      <c r="E412" s="65" t="s">
        <v>1716</v>
      </c>
      <c r="F412" s="46">
        <f>42*0.1</f>
        <v>4.2</v>
      </c>
      <c r="G412" s="40"/>
      <c r="H412" s="42"/>
    </row>
    <row r="413" spans="1:8">
      <c r="A413" s="145"/>
      <c r="B413" s="43"/>
      <c r="C413" s="36"/>
      <c r="D413" s="37"/>
      <c r="E413" s="65"/>
      <c r="F413" s="46"/>
      <c r="G413" s="40"/>
      <c r="H413" s="42"/>
    </row>
    <row r="414" spans="1:8">
      <c r="A414" s="34">
        <f>MAX(A$1:A413)+1</f>
        <v>56</v>
      </c>
      <c r="B414" s="35"/>
      <c r="C414" s="36" t="s">
        <v>533</v>
      </c>
      <c r="D414" s="37"/>
      <c r="E414" s="38" t="s">
        <v>534</v>
      </c>
      <c r="F414" s="39"/>
      <c r="G414" s="40" t="s">
        <v>18</v>
      </c>
      <c r="H414" s="64">
        <v>4.2</v>
      </c>
    </row>
    <row r="415" spans="1:8">
      <c r="A415" s="105"/>
      <c r="B415" s="35"/>
      <c r="C415" s="66"/>
      <c r="D415" s="67" t="s">
        <v>609</v>
      </c>
      <c r="E415" s="71" t="s">
        <v>610</v>
      </c>
      <c r="F415" s="61"/>
      <c r="G415" s="62" t="s">
        <v>18</v>
      </c>
      <c r="H415" s="83">
        <v>4.2</v>
      </c>
    </row>
    <row r="416" spans="1:8" ht="25.5">
      <c r="A416" s="105"/>
      <c r="B416" s="35"/>
      <c r="C416" s="35"/>
      <c r="D416" s="94"/>
      <c r="E416" s="65" t="s">
        <v>3173</v>
      </c>
      <c r="F416" s="46">
        <f>0.1*42</f>
        <v>4.2</v>
      </c>
      <c r="G416" s="62"/>
      <c r="H416" s="74"/>
    </row>
    <row r="417" spans="1:21">
      <c r="A417" s="105"/>
      <c r="B417" s="35"/>
      <c r="C417" s="35"/>
      <c r="D417" s="94"/>
      <c r="E417" s="65"/>
      <c r="F417" s="46"/>
      <c r="G417" s="62"/>
      <c r="H417" s="74"/>
    </row>
    <row r="418" spans="1:21">
      <c r="A418" s="105"/>
      <c r="B418" s="35"/>
      <c r="C418" s="35"/>
      <c r="D418" s="94"/>
      <c r="E418" s="65"/>
      <c r="F418" s="46"/>
      <c r="G418" s="62"/>
      <c r="H418" s="74"/>
    </row>
    <row r="419" spans="1:21">
      <c r="A419" s="105"/>
      <c r="B419" s="35" t="s">
        <v>131</v>
      </c>
      <c r="C419" s="35"/>
      <c r="D419" s="94"/>
      <c r="E419" s="50" t="s">
        <v>132</v>
      </c>
      <c r="F419" s="46"/>
      <c r="G419" s="62"/>
      <c r="H419" s="74"/>
    </row>
    <row r="420" spans="1:21">
      <c r="A420" s="105"/>
      <c r="B420" s="35"/>
      <c r="C420" s="35"/>
      <c r="D420" s="94"/>
      <c r="E420" s="50"/>
      <c r="F420" s="46"/>
      <c r="G420" s="62"/>
      <c r="H420" s="74"/>
    </row>
    <row r="421" spans="1:21" ht="25.5">
      <c r="A421" s="34">
        <f>MAX(A$1:A420)+1</f>
        <v>57</v>
      </c>
      <c r="B421" s="35"/>
      <c r="C421" s="36" t="s">
        <v>318</v>
      </c>
      <c r="D421" s="37"/>
      <c r="E421" s="38" t="s">
        <v>319</v>
      </c>
      <c r="F421" s="39"/>
      <c r="G421" s="40" t="s">
        <v>21</v>
      </c>
      <c r="H421" s="64">
        <v>390.4</v>
      </c>
    </row>
    <row r="422" spans="1:21" ht="25.5">
      <c r="A422" s="105"/>
      <c r="B422" s="35"/>
      <c r="C422" s="66"/>
      <c r="D422" s="67" t="s">
        <v>320</v>
      </c>
      <c r="E422" s="71" t="s">
        <v>321</v>
      </c>
      <c r="F422" s="61"/>
      <c r="G422" s="62" t="s">
        <v>21</v>
      </c>
      <c r="H422" s="83">
        <v>390.4</v>
      </c>
    </row>
    <row r="423" spans="1:21">
      <c r="A423" s="105"/>
      <c r="B423" s="35"/>
      <c r="C423" s="35"/>
      <c r="D423" s="94"/>
      <c r="E423" s="65" t="s">
        <v>887</v>
      </c>
      <c r="F423" s="46">
        <v>390.4</v>
      </c>
      <c r="G423" s="62"/>
      <c r="H423" s="74"/>
    </row>
    <row r="424" spans="1:21">
      <c r="A424" s="105"/>
      <c r="B424" s="35"/>
      <c r="C424" s="35"/>
      <c r="D424" s="94"/>
      <c r="E424" s="65"/>
      <c r="F424" s="46"/>
      <c r="G424" s="62"/>
      <c r="H424" s="74"/>
    </row>
    <row r="425" spans="1:21" ht="25.5">
      <c r="A425" s="34">
        <f>MAX(A$1:A424)+1</f>
        <v>58</v>
      </c>
      <c r="B425" s="35"/>
      <c r="C425" s="36" t="s">
        <v>345</v>
      </c>
      <c r="D425" s="37"/>
      <c r="E425" s="38" t="s">
        <v>346</v>
      </c>
      <c r="F425" s="39"/>
      <c r="G425" s="40" t="s">
        <v>21</v>
      </c>
      <c r="H425" s="64">
        <v>275.10000000000002</v>
      </c>
    </row>
    <row r="426" spans="1:21" ht="25.5">
      <c r="A426" s="105"/>
      <c r="B426" s="35"/>
      <c r="C426" s="66"/>
      <c r="D426" s="67" t="s">
        <v>347</v>
      </c>
      <c r="E426" s="71" t="s">
        <v>348</v>
      </c>
      <c r="F426" s="61"/>
      <c r="G426" s="62" t="s">
        <v>21</v>
      </c>
      <c r="H426" s="83">
        <v>275.10000000000002</v>
      </c>
    </row>
    <row r="427" spans="1:21">
      <c r="A427" s="105"/>
      <c r="B427" s="35"/>
      <c r="C427" s="35"/>
      <c r="D427" s="94"/>
      <c r="E427" s="65" t="s">
        <v>1368</v>
      </c>
      <c r="F427" s="46">
        <v>275.10000000000002</v>
      </c>
      <c r="G427" s="62"/>
      <c r="H427" s="74"/>
    </row>
    <row r="428" spans="1:21">
      <c r="A428" s="105"/>
      <c r="B428" s="35"/>
      <c r="C428" s="35"/>
      <c r="D428" s="94"/>
      <c r="E428" s="65"/>
      <c r="F428" s="46"/>
      <c r="G428" s="62"/>
      <c r="H428" s="74"/>
    </row>
    <row r="429" spans="1:21">
      <c r="A429" s="72"/>
      <c r="B429" s="73"/>
      <c r="C429" s="66"/>
      <c r="D429" s="67"/>
      <c r="E429" s="84"/>
      <c r="F429" s="90"/>
      <c r="G429" s="62"/>
      <c r="H429" s="99"/>
    </row>
    <row r="430" spans="1:21" ht="15.75" thickBot="1">
      <c r="A430" s="106"/>
      <c r="B430" s="107"/>
      <c r="C430" s="107"/>
      <c r="D430" s="107"/>
      <c r="E430" s="108"/>
      <c r="F430" s="109"/>
      <c r="G430" s="107"/>
      <c r="H430" s="110"/>
    </row>
    <row r="431" spans="1:21" ht="15.75">
      <c r="E431" s="6"/>
      <c r="F431" s="112"/>
      <c r="H431" s="8"/>
      <c r="Q431" s="223"/>
      <c r="U431" s="703"/>
    </row>
  </sheetData>
  <sheetProtection algorithmName="SHA-512" hashValue="urK3qU4xAGI77uNgwTdhGscuRbYgdcheAKmC9B+kZdMgbOIOgxILX5aIgPfr/zPvwGKeyTP9Ja056+Rdam7EDA==" saltValue="gEsO8IUv5mwt8O5HSPIqYA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62</vt:i4>
      </vt:variant>
      <vt:variant>
        <vt:lpstr>Pomenované rozsahy</vt:lpstr>
      </vt:variant>
      <vt:variant>
        <vt:i4>119</vt:i4>
      </vt:variant>
    </vt:vector>
  </HeadingPairs>
  <TitlesOfParts>
    <vt:vector size="181" baseType="lpstr">
      <vt:lpstr>CVS</vt:lpstr>
      <vt:lpstr>zoznam SO</vt:lpstr>
      <vt:lpstr>001</vt:lpstr>
      <vt:lpstr>121</vt:lpstr>
      <vt:lpstr>122</vt:lpstr>
      <vt:lpstr>122.70</vt:lpstr>
      <vt:lpstr>123</vt:lpstr>
      <vt:lpstr>124</vt:lpstr>
      <vt:lpstr>125</vt:lpstr>
      <vt:lpstr>201</vt:lpstr>
      <vt:lpstr>202</vt:lpstr>
      <vt:lpstr>301</vt:lpstr>
      <vt:lpstr>302</vt:lpstr>
      <vt:lpstr>303</vt:lpstr>
      <vt:lpstr>304</vt:lpstr>
      <vt:lpstr>305</vt:lpstr>
      <vt:lpstr>306</vt:lpstr>
      <vt:lpstr>501</vt:lpstr>
      <vt:lpstr>502</vt:lpstr>
      <vt:lpstr>510</vt:lpstr>
      <vt:lpstr>601</vt:lpstr>
      <vt:lpstr>602</vt:lpstr>
      <vt:lpstr>603</vt:lpstr>
      <vt:lpstr>604</vt:lpstr>
      <vt:lpstr>611</vt:lpstr>
      <vt:lpstr>612</vt:lpstr>
      <vt:lpstr>613</vt:lpstr>
      <vt:lpstr>614</vt:lpstr>
      <vt:lpstr>615</vt:lpstr>
      <vt:lpstr>617</vt:lpstr>
      <vt:lpstr>618</vt:lpstr>
      <vt:lpstr>619</vt:lpstr>
      <vt:lpstr>620</vt:lpstr>
      <vt:lpstr>621</vt:lpstr>
      <vt:lpstr>622</vt:lpstr>
      <vt:lpstr>631</vt:lpstr>
      <vt:lpstr>651</vt:lpstr>
      <vt:lpstr>652</vt:lpstr>
      <vt:lpstr>653</vt:lpstr>
      <vt:lpstr>654</vt:lpstr>
      <vt:lpstr>655</vt:lpstr>
      <vt:lpstr>656</vt:lpstr>
      <vt:lpstr>662</vt:lpstr>
      <vt:lpstr>663</vt:lpstr>
      <vt:lpstr>664</vt:lpstr>
      <vt:lpstr>671</vt:lpstr>
      <vt:lpstr>672</vt:lpstr>
      <vt:lpstr>673</vt:lpstr>
      <vt:lpstr>674</vt:lpstr>
      <vt:lpstr>675</vt:lpstr>
      <vt:lpstr>676</vt:lpstr>
      <vt:lpstr>677</vt:lpstr>
      <vt:lpstr>678</vt:lpstr>
      <vt:lpstr>681</vt:lpstr>
      <vt:lpstr>682</vt:lpstr>
      <vt:lpstr>683</vt:lpstr>
      <vt:lpstr>684</vt:lpstr>
      <vt:lpstr>685</vt:lpstr>
      <vt:lpstr>686</vt:lpstr>
      <vt:lpstr>687</vt:lpstr>
      <vt:lpstr>688</vt:lpstr>
      <vt:lpstr>801</vt:lpstr>
      <vt:lpstr>'001'!Názvy_tlače</vt:lpstr>
      <vt:lpstr>'121'!Názvy_tlače</vt:lpstr>
      <vt:lpstr>'122'!Názvy_tlače</vt:lpstr>
      <vt:lpstr>'122.70'!Názvy_tlače</vt:lpstr>
      <vt:lpstr>'123'!Názvy_tlače</vt:lpstr>
      <vt:lpstr>'124'!Názvy_tlače</vt:lpstr>
      <vt:lpstr>'125'!Názvy_tlače</vt:lpstr>
      <vt:lpstr>'201'!Názvy_tlače</vt:lpstr>
      <vt:lpstr>'202'!Názvy_tlače</vt:lpstr>
      <vt:lpstr>'301'!Názvy_tlače</vt:lpstr>
      <vt:lpstr>'302'!Názvy_tlače</vt:lpstr>
      <vt:lpstr>'303'!Názvy_tlače</vt:lpstr>
      <vt:lpstr>'304'!Názvy_tlače</vt:lpstr>
      <vt:lpstr>'305'!Názvy_tlače</vt:lpstr>
      <vt:lpstr>'306'!Názvy_tlače</vt:lpstr>
      <vt:lpstr>'501'!Názvy_tlače</vt:lpstr>
      <vt:lpstr>'502'!Názvy_tlače</vt:lpstr>
      <vt:lpstr>'510'!Názvy_tlače</vt:lpstr>
      <vt:lpstr>'601'!Názvy_tlače</vt:lpstr>
      <vt:lpstr>'602'!Názvy_tlače</vt:lpstr>
      <vt:lpstr>'603'!Názvy_tlače</vt:lpstr>
      <vt:lpstr>'604'!Názvy_tlače</vt:lpstr>
      <vt:lpstr>'611'!Názvy_tlače</vt:lpstr>
      <vt:lpstr>'612'!Názvy_tlače</vt:lpstr>
      <vt:lpstr>'613'!Názvy_tlače</vt:lpstr>
      <vt:lpstr>'614'!Názvy_tlače</vt:lpstr>
      <vt:lpstr>'615'!Názvy_tlače</vt:lpstr>
      <vt:lpstr>'617'!Názvy_tlače</vt:lpstr>
      <vt:lpstr>'618'!Názvy_tlače</vt:lpstr>
      <vt:lpstr>'619'!Názvy_tlače</vt:lpstr>
      <vt:lpstr>'620'!Názvy_tlače</vt:lpstr>
      <vt:lpstr>'621'!Názvy_tlače</vt:lpstr>
      <vt:lpstr>'622'!Názvy_tlače</vt:lpstr>
      <vt:lpstr>'631'!Názvy_tlače</vt:lpstr>
      <vt:lpstr>'651'!Názvy_tlače</vt:lpstr>
      <vt:lpstr>'652'!Názvy_tlače</vt:lpstr>
      <vt:lpstr>'653'!Názvy_tlače</vt:lpstr>
      <vt:lpstr>'654'!Názvy_tlače</vt:lpstr>
      <vt:lpstr>'655'!Názvy_tlače</vt:lpstr>
      <vt:lpstr>'656'!Názvy_tlače</vt:lpstr>
      <vt:lpstr>'662'!Názvy_tlače</vt:lpstr>
      <vt:lpstr>'663'!Názvy_tlače</vt:lpstr>
      <vt:lpstr>'664'!Názvy_tlače</vt:lpstr>
      <vt:lpstr>'671'!Názvy_tlače</vt:lpstr>
      <vt:lpstr>'672'!Názvy_tlače</vt:lpstr>
      <vt:lpstr>'673'!Názvy_tlače</vt:lpstr>
      <vt:lpstr>'674'!Názvy_tlače</vt:lpstr>
      <vt:lpstr>'675'!Názvy_tlače</vt:lpstr>
      <vt:lpstr>'676'!Názvy_tlače</vt:lpstr>
      <vt:lpstr>'677'!Názvy_tlače</vt:lpstr>
      <vt:lpstr>'678'!Názvy_tlače</vt:lpstr>
      <vt:lpstr>'681'!Názvy_tlače</vt:lpstr>
      <vt:lpstr>'682'!Názvy_tlače</vt:lpstr>
      <vt:lpstr>'683'!Názvy_tlače</vt:lpstr>
      <vt:lpstr>'684'!Názvy_tlače</vt:lpstr>
      <vt:lpstr>'685'!Názvy_tlače</vt:lpstr>
      <vt:lpstr>'686'!Názvy_tlače</vt:lpstr>
      <vt:lpstr>'687'!Názvy_tlače</vt:lpstr>
      <vt:lpstr>'688'!Názvy_tlače</vt:lpstr>
      <vt:lpstr>'801'!Názvy_tlače</vt:lpstr>
      <vt:lpstr>'zoznam SO'!Názvy_tlače</vt:lpstr>
      <vt:lpstr>'121'!Oblasť_tlače</vt:lpstr>
      <vt:lpstr>'122'!Oblasť_tlače</vt:lpstr>
      <vt:lpstr>'123'!Oblasť_tlače</vt:lpstr>
      <vt:lpstr>'124'!Oblasť_tlače</vt:lpstr>
      <vt:lpstr>'125'!Oblasť_tlače</vt:lpstr>
      <vt:lpstr>'201'!Oblasť_tlače</vt:lpstr>
      <vt:lpstr>'202'!Oblasť_tlače</vt:lpstr>
      <vt:lpstr>'301'!Oblasť_tlače</vt:lpstr>
      <vt:lpstr>'302'!Oblasť_tlače</vt:lpstr>
      <vt:lpstr>'303'!Oblasť_tlače</vt:lpstr>
      <vt:lpstr>'304'!Oblasť_tlače</vt:lpstr>
      <vt:lpstr>'305'!Oblasť_tlače</vt:lpstr>
      <vt:lpstr>'306'!Oblasť_tlače</vt:lpstr>
      <vt:lpstr>'501'!Oblasť_tlače</vt:lpstr>
      <vt:lpstr>'502'!Oblasť_tlače</vt:lpstr>
      <vt:lpstr>'510'!Oblasť_tlače</vt:lpstr>
      <vt:lpstr>'601'!Oblasť_tlače</vt:lpstr>
      <vt:lpstr>'602'!Oblasť_tlače</vt:lpstr>
      <vt:lpstr>'603'!Oblasť_tlače</vt:lpstr>
      <vt:lpstr>'604'!Oblasť_tlače</vt:lpstr>
      <vt:lpstr>'611'!Oblasť_tlače</vt:lpstr>
      <vt:lpstr>'612'!Oblasť_tlače</vt:lpstr>
      <vt:lpstr>'613'!Oblasť_tlače</vt:lpstr>
      <vt:lpstr>'614'!Oblasť_tlače</vt:lpstr>
      <vt:lpstr>'615'!Oblasť_tlače</vt:lpstr>
      <vt:lpstr>'617'!Oblasť_tlače</vt:lpstr>
      <vt:lpstr>'618'!Oblasť_tlače</vt:lpstr>
      <vt:lpstr>'619'!Oblasť_tlače</vt:lpstr>
      <vt:lpstr>'620'!Oblasť_tlače</vt:lpstr>
      <vt:lpstr>'621'!Oblasť_tlače</vt:lpstr>
      <vt:lpstr>'622'!Oblasť_tlače</vt:lpstr>
      <vt:lpstr>'631'!Oblasť_tlače</vt:lpstr>
      <vt:lpstr>'651'!Oblasť_tlače</vt:lpstr>
      <vt:lpstr>'652'!Oblasť_tlače</vt:lpstr>
      <vt:lpstr>'653'!Oblasť_tlače</vt:lpstr>
      <vt:lpstr>'654'!Oblasť_tlače</vt:lpstr>
      <vt:lpstr>'655'!Oblasť_tlače</vt:lpstr>
      <vt:lpstr>'656'!Oblasť_tlače</vt:lpstr>
      <vt:lpstr>'662'!Oblasť_tlače</vt:lpstr>
      <vt:lpstr>'663'!Oblasť_tlače</vt:lpstr>
      <vt:lpstr>'664'!Oblasť_tlače</vt:lpstr>
      <vt:lpstr>'671'!Oblasť_tlače</vt:lpstr>
      <vt:lpstr>'672'!Oblasť_tlače</vt:lpstr>
      <vt:lpstr>'673'!Oblasť_tlače</vt:lpstr>
      <vt:lpstr>'674'!Oblasť_tlače</vt:lpstr>
      <vt:lpstr>'675'!Oblasť_tlače</vt:lpstr>
      <vt:lpstr>'676'!Oblasť_tlače</vt:lpstr>
      <vt:lpstr>'677'!Oblasť_tlače</vt:lpstr>
      <vt:lpstr>'678'!Oblasť_tlače</vt:lpstr>
      <vt:lpstr>'681'!Oblasť_tlače</vt:lpstr>
      <vt:lpstr>'682'!Oblasť_tlače</vt:lpstr>
      <vt:lpstr>'683'!Oblasť_tlače</vt:lpstr>
      <vt:lpstr>'684'!Oblasť_tlače</vt:lpstr>
      <vt:lpstr>'685'!Oblasť_tlače</vt:lpstr>
      <vt:lpstr>'686'!Oblasť_tlače</vt:lpstr>
      <vt:lpstr>'687'!Oblasť_tlače</vt:lpstr>
      <vt:lpstr>'688'!Oblasť_tlače</vt:lpstr>
      <vt:lpstr>'801'!Oblasť_tlače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Ažaltovičová Alena Ing.</cp:lastModifiedBy>
  <cp:lastPrinted>2025-02-13T15:41:29Z</cp:lastPrinted>
  <dcterms:created xsi:type="dcterms:W3CDTF">2024-08-19T14:35:46Z</dcterms:created>
  <dcterms:modified xsi:type="dcterms:W3CDTF">2025-02-14T06:59:19Z</dcterms:modified>
</cp:coreProperties>
</file>