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fileserver\Teams\Team06\Veřejné zakázky\Realizace zakázek dle směrnice\2024\19 oprava hřiště Šrámkova\výzva\"/>
    </mc:Choice>
  </mc:AlternateContent>
  <xr:revisionPtr revIDLastSave="0" documentId="13_ncr:1_{613A2DEB-963D-4DA3-8C96-EB0FF851938A}" xr6:coauthVersionLast="36" xr6:coauthVersionMax="36" xr10:uidLastSave="{00000000-0000-0000-0000-000000000000}"/>
  <bookViews>
    <workbookView xWindow="0" yWindow="0" windowWidth="28800" windowHeight="12225" activeTab="3" xr2:uid="{00000000-000D-0000-FFFF-FFFF00000000}"/>
  </bookViews>
  <sheets>
    <sheet name="Stavební rozpočet - součet" sheetId="1" r:id="rId1"/>
    <sheet name="Krycí list rozpočtu" sheetId="2" r:id="rId2"/>
    <sheet name="VORN" sheetId="3" state="hidden" r:id="rId3"/>
    <sheet name="Stavební rozpočet" sheetId="4" r:id="rId4"/>
  </sheets>
  <definedNames>
    <definedName name="vorn_sum">VORN!$I$36</definedName>
  </definedNames>
  <calcPr calcId="191029"/>
</workbook>
</file>

<file path=xl/calcChain.xml><?xml version="1.0" encoding="utf-8"?>
<calcChain xmlns="http://schemas.openxmlformats.org/spreadsheetml/2006/main">
  <c r="BJ131" i="4" l="1"/>
  <c r="Z131" i="4" s="1"/>
  <c r="BF131" i="4"/>
  <c r="BD131" i="4"/>
  <c r="AP131" i="4"/>
  <c r="BI131" i="4" s="1"/>
  <c r="AO131" i="4"/>
  <c r="AW131" i="4" s="1"/>
  <c r="AK131" i="4"/>
  <c r="AT127" i="4" s="1"/>
  <c r="AJ131" i="4"/>
  <c r="AH131" i="4"/>
  <c r="AG131" i="4"/>
  <c r="AF131" i="4"/>
  <c r="AE131" i="4"/>
  <c r="AD131" i="4"/>
  <c r="AC131" i="4"/>
  <c r="AB131" i="4"/>
  <c r="I131" i="4"/>
  <c r="AL131" i="4" s="1"/>
  <c r="BJ128" i="4"/>
  <c r="BF128" i="4"/>
  <c r="BD128" i="4"/>
  <c r="AP128" i="4"/>
  <c r="BI128" i="4" s="1"/>
  <c r="AE128" i="4" s="1"/>
  <c r="AO128" i="4"/>
  <c r="BH128" i="4" s="1"/>
  <c r="AD128" i="4" s="1"/>
  <c r="AK128" i="4"/>
  <c r="AJ128" i="4"/>
  <c r="AH128" i="4"/>
  <c r="AG128" i="4"/>
  <c r="AF128" i="4"/>
  <c r="AC128" i="4"/>
  <c r="AB128" i="4"/>
  <c r="Z128" i="4"/>
  <c r="I128" i="4"/>
  <c r="AL128" i="4" s="1"/>
  <c r="AS127" i="4"/>
  <c r="BJ126" i="4"/>
  <c r="BF126" i="4"/>
  <c r="BD126" i="4"/>
  <c r="AW126" i="4"/>
  <c r="AP126" i="4"/>
  <c r="BI126" i="4" s="1"/>
  <c r="AO126" i="4"/>
  <c r="BH126" i="4" s="1"/>
  <c r="AL126" i="4"/>
  <c r="AK126" i="4"/>
  <c r="AJ126" i="4"/>
  <c r="AH126" i="4"/>
  <c r="AG126" i="4"/>
  <c r="AF126" i="4"/>
  <c r="AE126" i="4"/>
  <c r="AD126" i="4"/>
  <c r="AC126" i="4"/>
  <c r="AB126" i="4"/>
  <c r="Z126" i="4"/>
  <c r="I126" i="4"/>
  <c r="BJ124" i="4"/>
  <c r="Z124" i="4" s="1"/>
  <c r="BF124" i="4"/>
  <c r="BD124" i="4"/>
  <c r="AP124" i="4"/>
  <c r="BI124" i="4" s="1"/>
  <c r="AO124" i="4"/>
  <c r="BH124" i="4" s="1"/>
  <c r="AK124" i="4"/>
  <c r="AJ124" i="4"/>
  <c r="AH124" i="4"/>
  <c r="AG124" i="4"/>
  <c r="AF124" i="4"/>
  <c r="AE124" i="4"/>
  <c r="AD124" i="4"/>
  <c r="AC124" i="4"/>
  <c r="AB124" i="4"/>
  <c r="I124" i="4"/>
  <c r="AL124" i="4" s="1"/>
  <c r="BJ123" i="4"/>
  <c r="BF123" i="4"/>
  <c r="BD123" i="4"/>
  <c r="AW123" i="4"/>
  <c r="AP123" i="4"/>
  <c r="BI123" i="4" s="1"/>
  <c r="AO123" i="4"/>
  <c r="BH123" i="4" s="1"/>
  <c r="AK123" i="4"/>
  <c r="AJ123" i="4"/>
  <c r="AH123" i="4"/>
  <c r="AG123" i="4"/>
  <c r="AF123" i="4"/>
  <c r="AE123" i="4"/>
  <c r="AD123" i="4"/>
  <c r="AC123" i="4"/>
  <c r="AB123" i="4"/>
  <c r="Z123" i="4"/>
  <c r="I123" i="4"/>
  <c r="AL123" i="4" s="1"/>
  <c r="BJ122" i="4"/>
  <c r="Z122" i="4" s="1"/>
  <c r="BF122" i="4"/>
  <c r="BD122" i="4"/>
  <c r="AP122" i="4"/>
  <c r="BI122" i="4" s="1"/>
  <c r="AO122" i="4"/>
  <c r="BH122" i="4" s="1"/>
  <c r="AK122" i="4"/>
  <c r="AJ122" i="4"/>
  <c r="AH122" i="4"/>
  <c r="AG122" i="4"/>
  <c r="AF122" i="4"/>
  <c r="AE122" i="4"/>
  <c r="AD122" i="4"/>
  <c r="AC122" i="4"/>
  <c r="AB122" i="4"/>
  <c r="I122" i="4"/>
  <c r="AL122" i="4" s="1"/>
  <c r="BJ120" i="4"/>
  <c r="BF120" i="4"/>
  <c r="BD120" i="4"/>
  <c r="AP120" i="4"/>
  <c r="BI120" i="4" s="1"/>
  <c r="AO120" i="4"/>
  <c r="BH120" i="4" s="1"/>
  <c r="AK120" i="4"/>
  <c r="AJ120" i="4"/>
  <c r="AH120" i="4"/>
  <c r="AG120" i="4"/>
  <c r="AF120" i="4"/>
  <c r="AE120" i="4"/>
  <c r="AD120" i="4"/>
  <c r="AC120" i="4"/>
  <c r="AB120" i="4"/>
  <c r="Z120" i="4"/>
  <c r="I120" i="4"/>
  <c r="AL120" i="4" s="1"/>
  <c r="BJ118" i="4"/>
  <c r="Z118" i="4" s="1"/>
  <c r="BF118" i="4"/>
  <c r="BD118" i="4"/>
  <c r="AP118" i="4"/>
  <c r="BI118" i="4" s="1"/>
  <c r="AO118" i="4"/>
  <c r="BH118" i="4" s="1"/>
  <c r="AK118" i="4"/>
  <c r="AT117" i="4" s="1"/>
  <c r="AJ118" i="4"/>
  <c r="AH118" i="4"/>
  <c r="AG118" i="4"/>
  <c r="AF118" i="4"/>
  <c r="AE118" i="4"/>
  <c r="AD118" i="4"/>
  <c r="AC118" i="4"/>
  <c r="AB118" i="4"/>
  <c r="I118" i="4"/>
  <c r="AL118" i="4" s="1"/>
  <c r="BJ116" i="4"/>
  <c r="BF116" i="4"/>
  <c r="BD116" i="4"/>
  <c r="AP116" i="4"/>
  <c r="BI116" i="4" s="1"/>
  <c r="AC116" i="4" s="1"/>
  <c r="AO116" i="4"/>
  <c r="BH116" i="4" s="1"/>
  <c r="AB116" i="4" s="1"/>
  <c r="AL116" i="4"/>
  <c r="AK116" i="4"/>
  <c r="AJ116" i="4"/>
  <c r="AS113" i="4" s="1"/>
  <c r="AH116" i="4"/>
  <c r="AG116" i="4"/>
  <c r="AF116" i="4"/>
  <c r="AE116" i="4"/>
  <c r="AD116" i="4"/>
  <c r="Z116" i="4"/>
  <c r="I116" i="4"/>
  <c r="BJ114" i="4"/>
  <c r="BF114" i="4"/>
  <c r="BD114" i="4"/>
  <c r="AP114" i="4"/>
  <c r="BI114" i="4" s="1"/>
  <c r="AC114" i="4" s="1"/>
  <c r="AO114" i="4"/>
  <c r="BH114" i="4" s="1"/>
  <c r="AB114" i="4" s="1"/>
  <c r="AK114" i="4"/>
  <c r="AT113" i="4" s="1"/>
  <c r="AJ114" i="4"/>
  <c r="AH114" i="4"/>
  <c r="AG114" i="4"/>
  <c r="AF114" i="4"/>
  <c r="AE114" i="4"/>
  <c r="AD114" i="4"/>
  <c r="Z114" i="4"/>
  <c r="I114" i="4"/>
  <c r="AL114" i="4" s="1"/>
  <c r="AU113" i="4" s="1"/>
  <c r="I113" i="4"/>
  <c r="BJ107" i="4"/>
  <c r="BF107" i="4"/>
  <c r="BD107" i="4"/>
  <c r="AW107" i="4"/>
  <c r="AP107" i="4"/>
  <c r="BI107" i="4" s="1"/>
  <c r="AC107" i="4" s="1"/>
  <c r="AO107" i="4"/>
  <c r="BH107" i="4" s="1"/>
  <c r="AB107" i="4" s="1"/>
  <c r="AK107" i="4"/>
  <c r="AJ107" i="4"/>
  <c r="AS106" i="4" s="1"/>
  <c r="AH107" i="4"/>
  <c r="AG107" i="4"/>
  <c r="AF107" i="4"/>
  <c r="AE107" i="4"/>
  <c r="AD107" i="4"/>
  <c r="Z107" i="4"/>
  <c r="I107" i="4"/>
  <c r="AL107" i="4" s="1"/>
  <c r="AU106" i="4" s="1"/>
  <c r="AT106" i="4"/>
  <c r="I106" i="4"/>
  <c r="BJ105" i="4"/>
  <c r="Z105" i="4" s="1"/>
  <c r="BF105" i="4"/>
  <c r="BD105" i="4"/>
  <c r="AP105" i="4"/>
  <c r="BI105" i="4" s="1"/>
  <c r="AO105" i="4"/>
  <c r="BH105" i="4" s="1"/>
  <c r="AK105" i="4"/>
  <c r="AJ105" i="4"/>
  <c r="AH105" i="4"/>
  <c r="AG105" i="4"/>
  <c r="AF105" i="4"/>
  <c r="AE105" i="4"/>
  <c r="AD105" i="4"/>
  <c r="AC105" i="4"/>
  <c r="AB105" i="4"/>
  <c r="I105" i="4"/>
  <c r="AL105" i="4" s="1"/>
  <c r="BJ104" i="4"/>
  <c r="BF104" i="4"/>
  <c r="BD104" i="4"/>
  <c r="AP104" i="4"/>
  <c r="BI104" i="4" s="1"/>
  <c r="AC104" i="4" s="1"/>
  <c r="AO104" i="4"/>
  <c r="BH104" i="4" s="1"/>
  <c r="AB104" i="4" s="1"/>
  <c r="AK104" i="4"/>
  <c r="AJ104" i="4"/>
  <c r="AH104" i="4"/>
  <c r="AG104" i="4"/>
  <c r="AF104" i="4"/>
  <c r="AE104" i="4"/>
  <c r="AD104" i="4"/>
  <c r="Z104" i="4"/>
  <c r="I104" i="4"/>
  <c r="AL104" i="4" s="1"/>
  <c r="AS103" i="4"/>
  <c r="BJ102" i="4"/>
  <c r="BF102" i="4"/>
  <c r="BD102" i="4"/>
  <c r="AP102" i="4"/>
  <c r="BI102" i="4" s="1"/>
  <c r="AC102" i="4" s="1"/>
  <c r="AO102" i="4"/>
  <c r="BH102" i="4" s="1"/>
  <c r="AB102" i="4" s="1"/>
  <c r="AK102" i="4"/>
  <c r="AJ102" i="4"/>
  <c r="AS101" i="4" s="1"/>
  <c r="AH102" i="4"/>
  <c r="AG102" i="4"/>
  <c r="AF102" i="4"/>
  <c r="AE102" i="4"/>
  <c r="AD102" i="4"/>
  <c r="Z102" i="4"/>
  <c r="I102" i="4"/>
  <c r="AL102" i="4" s="1"/>
  <c r="AU101" i="4" s="1"/>
  <c r="AT101" i="4"/>
  <c r="BJ97" i="4"/>
  <c r="BF97" i="4"/>
  <c r="BD97" i="4"/>
  <c r="AP97" i="4"/>
  <c r="BI97" i="4" s="1"/>
  <c r="AC97" i="4" s="1"/>
  <c r="AO97" i="4"/>
  <c r="BH97" i="4" s="1"/>
  <c r="AB97" i="4" s="1"/>
  <c r="AL97" i="4"/>
  <c r="AK97" i="4"/>
  <c r="AJ97" i="4"/>
  <c r="AH97" i="4"/>
  <c r="AG97" i="4"/>
  <c r="AF97" i="4"/>
  <c r="AE97" i="4"/>
  <c r="AD97" i="4"/>
  <c r="Z97" i="4"/>
  <c r="I97" i="4"/>
  <c r="BJ95" i="4"/>
  <c r="BF95" i="4"/>
  <c r="BD95" i="4"/>
  <c r="AP95" i="4"/>
  <c r="BI95" i="4" s="1"/>
  <c r="AC95" i="4" s="1"/>
  <c r="AO95" i="4"/>
  <c r="BH95" i="4" s="1"/>
  <c r="AB95" i="4" s="1"/>
  <c r="AK95" i="4"/>
  <c r="AT94" i="4" s="1"/>
  <c r="AJ95" i="4"/>
  <c r="AH95" i="4"/>
  <c r="AG95" i="4"/>
  <c r="AF95" i="4"/>
  <c r="AE95" i="4"/>
  <c r="AD95" i="4"/>
  <c r="Z95" i="4"/>
  <c r="I95" i="4"/>
  <c r="AL95" i="4" s="1"/>
  <c r="AU94" i="4" s="1"/>
  <c r="I94" i="4"/>
  <c r="BJ91" i="4"/>
  <c r="BF91" i="4"/>
  <c r="BD91" i="4"/>
  <c r="AW91" i="4"/>
  <c r="AP91" i="4"/>
  <c r="BI91" i="4" s="1"/>
  <c r="AC91" i="4" s="1"/>
  <c r="AO91" i="4"/>
  <c r="BH91" i="4" s="1"/>
  <c r="AB91" i="4" s="1"/>
  <c r="AK91" i="4"/>
  <c r="AJ91" i="4"/>
  <c r="AS87" i="4" s="1"/>
  <c r="AH91" i="4"/>
  <c r="AG91" i="4"/>
  <c r="AF91" i="4"/>
  <c r="AE91" i="4"/>
  <c r="AD91" i="4"/>
  <c r="Z91" i="4"/>
  <c r="I91" i="4"/>
  <c r="AL91" i="4" s="1"/>
  <c r="BJ88" i="4"/>
  <c r="BF88" i="4"/>
  <c r="BD88" i="4"/>
  <c r="AP88" i="4"/>
  <c r="BI88" i="4" s="1"/>
  <c r="AC88" i="4" s="1"/>
  <c r="AO88" i="4"/>
  <c r="BH88" i="4" s="1"/>
  <c r="AB88" i="4" s="1"/>
  <c r="AK88" i="4"/>
  <c r="AJ88" i="4"/>
  <c r="AH88" i="4"/>
  <c r="AG88" i="4"/>
  <c r="AF88" i="4"/>
  <c r="AE88" i="4"/>
  <c r="AD88" i="4"/>
  <c r="Z88" i="4"/>
  <c r="I88" i="4"/>
  <c r="AL88" i="4" s="1"/>
  <c r="AT87" i="4"/>
  <c r="I87" i="4"/>
  <c r="BJ85" i="4"/>
  <c r="BF85" i="4"/>
  <c r="BD85" i="4"/>
  <c r="AW85" i="4"/>
  <c r="AP85" i="4"/>
  <c r="BI85" i="4" s="1"/>
  <c r="AC85" i="4" s="1"/>
  <c r="AO85" i="4"/>
  <c r="BH85" i="4" s="1"/>
  <c r="AB85" i="4" s="1"/>
  <c r="AK85" i="4"/>
  <c r="AJ85" i="4"/>
  <c r="AH85" i="4"/>
  <c r="AG85" i="4"/>
  <c r="AF85" i="4"/>
  <c r="AE85" i="4"/>
  <c r="AD85" i="4"/>
  <c r="Z85" i="4"/>
  <c r="I85" i="4"/>
  <c r="AL85" i="4" s="1"/>
  <c r="BJ84" i="4"/>
  <c r="BF84" i="4"/>
  <c r="BD84" i="4"/>
  <c r="AX84" i="4"/>
  <c r="AP84" i="4"/>
  <c r="BI84" i="4" s="1"/>
  <c r="AC84" i="4" s="1"/>
  <c r="AO84" i="4"/>
  <c r="BH84" i="4" s="1"/>
  <c r="AB84" i="4" s="1"/>
  <c r="AK84" i="4"/>
  <c r="AJ84" i="4"/>
  <c r="AH84" i="4"/>
  <c r="AG84" i="4"/>
  <c r="AF84" i="4"/>
  <c r="AE84" i="4"/>
  <c r="AD84" i="4"/>
  <c r="Z84" i="4"/>
  <c r="I84" i="4"/>
  <c r="AL84" i="4" s="1"/>
  <c r="BJ82" i="4"/>
  <c r="BF82" i="4"/>
  <c r="BD82" i="4"/>
  <c r="AW82" i="4"/>
  <c r="AP82" i="4"/>
  <c r="BI82" i="4" s="1"/>
  <c r="AC82" i="4" s="1"/>
  <c r="AO82" i="4"/>
  <c r="BH82" i="4" s="1"/>
  <c r="AB82" i="4" s="1"/>
  <c r="AK82" i="4"/>
  <c r="AJ82" i="4"/>
  <c r="AS81" i="4" s="1"/>
  <c r="AH82" i="4"/>
  <c r="AG82" i="4"/>
  <c r="AF82" i="4"/>
  <c r="AE82" i="4"/>
  <c r="AD82" i="4"/>
  <c r="Z82" i="4"/>
  <c r="I82" i="4"/>
  <c r="AL82" i="4" s="1"/>
  <c r="BJ78" i="4"/>
  <c r="BF78" i="4"/>
  <c r="BD78" i="4"/>
  <c r="AX78" i="4"/>
  <c r="AP78" i="4"/>
  <c r="BI78" i="4" s="1"/>
  <c r="AC78" i="4" s="1"/>
  <c r="AO78" i="4"/>
  <c r="BH78" i="4" s="1"/>
  <c r="AB78" i="4" s="1"/>
  <c r="AK78" i="4"/>
  <c r="AJ78" i="4"/>
  <c r="AH78" i="4"/>
  <c r="AG78" i="4"/>
  <c r="AF78" i="4"/>
  <c r="AE78" i="4"/>
  <c r="AD78" i="4"/>
  <c r="Z78" i="4"/>
  <c r="I78" i="4"/>
  <c r="AL78" i="4" s="1"/>
  <c r="AU77" i="4" s="1"/>
  <c r="AT77" i="4"/>
  <c r="AS77" i="4"/>
  <c r="I77" i="4"/>
  <c r="BJ75" i="4"/>
  <c r="BF75" i="4"/>
  <c r="BD75" i="4"/>
  <c r="AP75" i="4"/>
  <c r="BI75" i="4" s="1"/>
  <c r="AC75" i="4" s="1"/>
  <c r="AO75" i="4"/>
  <c r="BH75" i="4" s="1"/>
  <c r="AB75" i="4" s="1"/>
  <c r="AL75" i="4"/>
  <c r="AK75" i="4"/>
  <c r="AJ75" i="4"/>
  <c r="AS74" i="4" s="1"/>
  <c r="AH75" i="4"/>
  <c r="AG75" i="4"/>
  <c r="AF75" i="4"/>
  <c r="AE75" i="4"/>
  <c r="AD75" i="4"/>
  <c r="Z75" i="4"/>
  <c r="I75" i="4"/>
  <c r="I74" i="4" s="1"/>
  <c r="G19" i="1" s="1"/>
  <c r="I19" i="1" s="1"/>
  <c r="AU74" i="4"/>
  <c r="AT74" i="4"/>
  <c r="BJ68" i="4"/>
  <c r="BF68" i="4"/>
  <c r="BD68" i="4"/>
  <c r="AP68" i="4"/>
  <c r="BI68" i="4" s="1"/>
  <c r="AC68" i="4" s="1"/>
  <c r="AO68" i="4"/>
  <c r="BH68" i="4" s="1"/>
  <c r="AB68" i="4" s="1"/>
  <c r="AK68" i="4"/>
  <c r="AT67" i="4" s="1"/>
  <c r="AJ68" i="4"/>
  <c r="AH68" i="4"/>
  <c r="AG68" i="4"/>
  <c r="AF68" i="4"/>
  <c r="AE68" i="4"/>
  <c r="AD68" i="4"/>
  <c r="Z68" i="4"/>
  <c r="I68" i="4"/>
  <c r="AL68" i="4" s="1"/>
  <c r="AU67" i="4" s="1"/>
  <c r="AS67" i="4"/>
  <c r="I67" i="4"/>
  <c r="G18" i="1" s="1"/>
  <c r="I18" i="1" s="1"/>
  <c r="BJ66" i="4"/>
  <c r="BF66" i="4"/>
  <c r="BD66" i="4"/>
  <c r="AW66" i="4"/>
  <c r="AP66" i="4"/>
  <c r="BI66" i="4" s="1"/>
  <c r="AC66" i="4" s="1"/>
  <c r="AO66" i="4"/>
  <c r="BH66" i="4" s="1"/>
  <c r="AB66" i="4" s="1"/>
  <c r="AK66" i="4"/>
  <c r="AJ66" i="4"/>
  <c r="AS58" i="4" s="1"/>
  <c r="AH66" i="4"/>
  <c r="AG66" i="4"/>
  <c r="AF66" i="4"/>
  <c r="AE66" i="4"/>
  <c r="AD66" i="4"/>
  <c r="Z66" i="4"/>
  <c r="I66" i="4"/>
  <c r="AL66" i="4" s="1"/>
  <c r="BJ62" i="4"/>
  <c r="BF62" i="4"/>
  <c r="BD62" i="4"/>
  <c r="AX62" i="4"/>
  <c r="AP62" i="4"/>
  <c r="BI62" i="4" s="1"/>
  <c r="AC62" i="4" s="1"/>
  <c r="AO62" i="4"/>
  <c r="AK62" i="4"/>
  <c r="AJ62" i="4"/>
  <c r="AH62" i="4"/>
  <c r="AG62" i="4"/>
  <c r="AF62" i="4"/>
  <c r="AE62" i="4"/>
  <c r="AD62" i="4"/>
  <c r="Z62" i="4"/>
  <c r="I62" i="4"/>
  <c r="BJ59" i="4"/>
  <c r="BF59" i="4"/>
  <c r="BD59" i="4"/>
  <c r="AW59" i="4"/>
  <c r="AP59" i="4"/>
  <c r="BI59" i="4" s="1"/>
  <c r="AC59" i="4" s="1"/>
  <c r="AO59" i="4"/>
  <c r="BH59" i="4" s="1"/>
  <c r="AB59" i="4" s="1"/>
  <c r="AK59" i="4"/>
  <c r="AJ59" i="4"/>
  <c r="AH59" i="4"/>
  <c r="AG59" i="4"/>
  <c r="AF59" i="4"/>
  <c r="AE59" i="4"/>
  <c r="AD59" i="4"/>
  <c r="Z59" i="4"/>
  <c r="I59" i="4"/>
  <c r="AL59" i="4" s="1"/>
  <c r="BJ57" i="4"/>
  <c r="BF57" i="4"/>
  <c r="BD57" i="4"/>
  <c r="AX57" i="4"/>
  <c r="AP57" i="4"/>
  <c r="BI57" i="4" s="1"/>
  <c r="AC57" i="4" s="1"/>
  <c r="AO57" i="4"/>
  <c r="BH57" i="4" s="1"/>
  <c r="AK57" i="4"/>
  <c r="AJ57" i="4"/>
  <c r="AS56" i="4" s="1"/>
  <c r="AH57" i="4"/>
  <c r="AG57" i="4"/>
  <c r="AF57" i="4"/>
  <c r="AE57" i="4"/>
  <c r="AD57" i="4"/>
  <c r="AB57" i="4"/>
  <c r="Z57" i="4"/>
  <c r="I57" i="4"/>
  <c r="AL57" i="4" s="1"/>
  <c r="AU56" i="4" s="1"/>
  <c r="AT56" i="4"/>
  <c r="I56" i="4"/>
  <c r="G16" i="1" s="1"/>
  <c r="I16" i="1" s="1"/>
  <c r="BJ54" i="4"/>
  <c r="BF54" i="4"/>
  <c r="BD54" i="4"/>
  <c r="AW54" i="4"/>
  <c r="AP54" i="4"/>
  <c r="AX54" i="4" s="1"/>
  <c r="BC54" i="4" s="1"/>
  <c r="AO54" i="4"/>
  <c r="BH54" i="4" s="1"/>
  <c r="AB54" i="4" s="1"/>
  <c r="AK54" i="4"/>
  <c r="AT53" i="4" s="1"/>
  <c r="AJ54" i="4"/>
  <c r="AS53" i="4" s="1"/>
  <c r="AH54" i="4"/>
  <c r="AG54" i="4"/>
  <c r="AF54" i="4"/>
  <c r="AE54" i="4"/>
  <c r="AD54" i="4"/>
  <c r="Z54" i="4"/>
  <c r="I54" i="4"/>
  <c r="I53" i="4" s="1"/>
  <c r="G15" i="1" s="1"/>
  <c r="I15" i="1" s="1"/>
  <c r="BJ51" i="4"/>
  <c r="BH51" i="4"/>
  <c r="AB51" i="4" s="1"/>
  <c r="BF51" i="4"/>
  <c r="BD51" i="4"/>
  <c r="AX51" i="4"/>
  <c r="AP51" i="4"/>
  <c r="BI51" i="4" s="1"/>
  <c r="AC51" i="4" s="1"/>
  <c r="AO51" i="4"/>
  <c r="AW51" i="4" s="1"/>
  <c r="AK51" i="4"/>
  <c r="AJ51" i="4"/>
  <c r="AH51" i="4"/>
  <c r="AG51" i="4"/>
  <c r="AF51" i="4"/>
  <c r="AE51" i="4"/>
  <c r="AD51" i="4"/>
  <c r="Z51" i="4"/>
  <c r="I51" i="4"/>
  <c r="BJ50" i="4"/>
  <c r="BF50" i="4"/>
  <c r="BD50" i="4"/>
  <c r="AW50" i="4"/>
  <c r="AP50" i="4"/>
  <c r="BI50" i="4" s="1"/>
  <c r="AC50" i="4" s="1"/>
  <c r="AO50" i="4"/>
  <c r="BH50" i="4" s="1"/>
  <c r="AB50" i="4" s="1"/>
  <c r="AL50" i="4"/>
  <c r="AK50" i="4"/>
  <c r="AJ50" i="4"/>
  <c r="AH50" i="4"/>
  <c r="AG50" i="4"/>
  <c r="AF50" i="4"/>
  <c r="AE50" i="4"/>
  <c r="AD50" i="4"/>
  <c r="Z50" i="4"/>
  <c r="I50" i="4"/>
  <c r="AS49" i="4"/>
  <c r="BJ47" i="4"/>
  <c r="BH47" i="4"/>
  <c r="AB47" i="4" s="1"/>
  <c r="BF47" i="4"/>
  <c r="BD47" i="4"/>
  <c r="AP47" i="4"/>
  <c r="BI47" i="4" s="1"/>
  <c r="AC47" i="4" s="1"/>
  <c r="AO47" i="4"/>
  <c r="AW47" i="4" s="1"/>
  <c r="AK47" i="4"/>
  <c r="AJ47" i="4"/>
  <c r="AS36" i="4" s="1"/>
  <c r="AH47" i="4"/>
  <c r="AG47" i="4"/>
  <c r="AF47" i="4"/>
  <c r="AE47" i="4"/>
  <c r="AD47" i="4"/>
  <c r="Z47" i="4"/>
  <c r="I47" i="4"/>
  <c r="BJ37" i="4"/>
  <c r="BI37" i="4"/>
  <c r="BF37" i="4"/>
  <c r="BD37" i="4"/>
  <c r="AP37" i="4"/>
  <c r="AX37" i="4" s="1"/>
  <c r="AO37" i="4"/>
  <c r="BH37" i="4" s="1"/>
  <c r="AL37" i="4"/>
  <c r="AK37" i="4"/>
  <c r="AT36" i="4" s="1"/>
  <c r="AJ37" i="4"/>
  <c r="AH37" i="4"/>
  <c r="AG37" i="4"/>
  <c r="AF37" i="4"/>
  <c r="AE37" i="4"/>
  <c r="AD37" i="4"/>
  <c r="AC37" i="4"/>
  <c r="AB37" i="4"/>
  <c r="Z37" i="4"/>
  <c r="I37" i="4"/>
  <c r="BJ35" i="4"/>
  <c r="BH35" i="4"/>
  <c r="AB35" i="4" s="1"/>
  <c r="BF35" i="4"/>
  <c r="BD35" i="4"/>
  <c r="AP35" i="4"/>
  <c r="BI35" i="4" s="1"/>
  <c r="AC35" i="4" s="1"/>
  <c r="AO35" i="4"/>
  <c r="AW35" i="4" s="1"/>
  <c r="AK35" i="4"/>
  <c r="AJ35" i="4"/>
  <c r="AH35" i="4"/>
  <c r="AG35" i="4"/>
  <c r="AF35" i="4"/>
  <c r="AE35" i="4"/>
  <c r="AD35" i="4"/>
  <c r="Z35" i="4"/>
  <c r="I35" i="4"/>
  <c r="AL35" i="4" s="1"/>
  <c r="BJ32" i="4"/>
  <c r="BF32" i="4"/>
  <c r="BD32" i="4"/>
  <c r="AP32" i="4"/>
  <c r="BI32" i="4" s="1"/>
  <c r="AC32" i="4" s="1"/>
  <c r="AO32" i="4"/>
  <c r="BH32" i="4" s="1"/>
  <c r="AB32" i="4" s="1"/>
  <c r="AK32" i="4"/>
  <c r="AJ32" i="4"/>
  <c r="AH32" i="4"/>
  <c r="AG32" i="4"/>
  <c r="AF32" i="4"/>
  <c r="AE32" i="4"/>
  <c r="AD32" i="4"/>
  <c r="Z32" i="4"/>
  <c r="I32" i="4"/>
  <c r="AL32" i="4" s="1"/>
  <c r="BJ27" i="4"/>
  <c r="BF27" i="4"/>
  <c r="BD27" i="4"/>
  <c r="AW27" i="4"/>
  <c r="AV27" i="4" s="1"/>
  <c r="AP27" i="4"/>
  <c r="AX27" i="4" s="1"/>
  <c r="AO27" i="4"/>
  <c r="BH27" i="4" s="1"/>
  <c r="AB27" i="4" s="1"/>
  <c r="AK27" i="4"/>
  <c r="AJ27" i="4"/>
  <c r="AS17" i="4" s="1"/>
  <c r="AH27" i="4"/>
  <c r="AG27" i="4"/>
  <c r="C19" i="2" s="1"/>
  <c r="AF27" i="4"/>
  <c r="AE27" i="4"/>
  <c r="AD27" i="4"/>
  <c r="Z27" i="4"/>
  <c r="I27" i="4"/>
  <c r="AL27" i="4" s="1"/>
  <c r="BJ20" i="4"/>
  <c r="BF20" i="4"/>
  <c r="BD20" i="4"/>
  <c r="AX20" i="4"/>
  <c r="AP20" i="4"/>
  <c r="BI20" i="4" s="1"/>
  <c r="AC20" i="4" s="1"/>
  <c r="AO20" i="4"/>
  <c r="AW20" i="4" s="1"/>
  <c r="AK20" i="4"/>
  <c r="AJ20" i="4"/>
  <c r="AH20" i="4"/>
  <c r="AG20" i="4"/>
  <c r="AF20" i="4"/>
  <c r="AE20" i="4"/>
  <c r="AD20" i="4"/>
  <c r="Z20" i="4"/>
  <c r="I20" i="4"/>
  <c r="AL20" i="4" s="1"/>
  <c r="BJ18" i="4"/>
  <c r="BF18" i="4"/>
  <c r="BD18" i="4"/>
  <c r="AW18" i="4"/>
  <c r="AP18" i="4"/>
  <c r="BI18" i="4" s="1"/>
  <c r="AC18" i="4" s="1"/>
  <c r="AO18" i="4"/>
  <c r="BH18" i="4" s="1"/>
  <c r="AB18" i="4" s="1"/>
  <c r="AL18" i="4"/>
  <c r="AK18" i="4"/>
  <c r="AJ18" i="4"/>
  <c r="C27" i="2" s="1"/>
  <c r="AH18" i="4"/>
  <c r="AG18" i="4"/>
  <c r="AF18" i="4"/>
  <c r="AE18" i="4"/>
  <c r="AD18" i="4"/>
  <c r="Z18" i="4"/>
  <c r="I18" i="4"/>
  <c r="BJ16" i="4"/>
  <c r="BF16" i="4"/>
  <c r="BD16" i="4"/>
  <c r="AP16" i="4"/>
  <c r="BI16" i="4" s="1"/>
  <c r="AC16" i="4" s="1"/>
  <c r="AO16" i="4"/>
  <c r="BH16" i="4" s="1"/>
  <c r="AB16" i="4" s="1"/>
  <c r="AK16" i="4"/>
  <c r="AJ16" i="4"/>
  <c r="AH16" i="4"/>
  <c r="AG16" i="4"/>
  <c r="AF16" i="4"/>
  <c r="AE16" i="4"/>
  <c r="AD16" i="4"/>
  <c r="Z16" i="4"/>
  <c r="I16" i="4"/>
  <c r="AL16" i="4" s="1"/>
  <c r="BJ15" i="4"/>
  <c r="BF15" i="4"/>
  <c r="BD15" i="4"/>
  <c r="AP15" i="4"/>
  <c r="AX15" i="4" s="1"/>
  <c r="AO15" i="4"/>
  <c r="BH15" i="4" s="1"/>
  <c r="AB15" i="4" s="1"/>
  <c r="AK15" i="4"/>
  <c r="AJ15" i="4"/>
  <c r="AH15" i="4"/>
  <c r="C20" i="2" s="1"/>
  <c r="AG15" i="4"/>
  <c r="AF15" i="4"/>
  <c r="AE15" i="4"/>
  <c r="AD15" i="4"/>
  <c r="Z15" i="4"/>
  <c r="I15" i="4"/>
  <c r="AL15" i="4" s="1"/>
  <c r="BJ14" i="4"/>
  <c r="BF14" i="4"/>
  <c r="BD14" i="4"/>
  <c r="AP14" i="4"/>
  <c r="BI14" i="4" s="1"/>
  <c r="AC14" i="4" s="1"/>
  <c r="AO14" i="4"/>
  <c r="AW14" i="4" s="1"/>
  <c r="AK14" i="4"/>
  <c r="AJ14" i="4"/>
  <c r="AH14" i="4"/>
  <c r="AG14" i="4"/>
  <c r="AF14" i="4"/>
  <c r="AE14" i="4"/>
  <c r="AD14" i="4"/>
  <c r="Z14" i="4"/>
  <c r="I14" i="4"/>
  <c r="AL14" i="4" s="1"/>
  <c r="BJ13" i="4"/>
  <c r="BF13" i="4"/>
  <c r="BD13" i="4"/>
  <c r="AP13" i="4"/>
  <c r="BI13" i="4" s="1"/>
  <c r="AC13" i="4" s="1"/>
  <c r="AO13" i="4"/>
  <c r="BH13" i="4" s="1"/>
  <c r="AB13" i="4" s="1"/>
  <c r="AL13" i="4"/>
  <c r="AK13" i="4"/>
  <c r="AJ13" i="4"/>
  <c r="AH13" i="4"/>
  <c r="AG13" i="4"/>
  <c r="AF13" i="4"/>
  <c r="C18" i="2" s="1"/>
  <c r="AE13" i="4"/>
  <c r="AD13" i="4"/>
  <c r="Z13" i="4"/>
  <c r="I13" i="4"/>
  <c r="AU1" i="4"/>
  <c r="AT1" i="4"/>
  <c r="AS1" i="4"/>
  <c r="I35" i="3"/>
  <c r="I36" i="3" s="1"/>
  <c r="I24" i="2" s="1"/>
  <c r="I26" i="3"/>
  <c r="I19" i="2" s="1"/>
  <c r="I25" i="3"/>
  <c r="I18" i="2" s="1"/>
  <c r="I24" i="3"/>
  <c r="I17" i="2" s="1"/>
  <c r="I23" i="3"/>
  <c r="I16" i="2" s="1"/>
  <c r="I22" i="3"/>
  <c r="I21" i="3"/>
  <c r="I14" i="2" s="1"/>
  <c r="I17" i="3"/>
  <c r="F16" i="2" s="1"/>
  <c r="I16" i="3"/>
  <c r="F15" i="2" s="1"/>
  <c r="I15" i="3"/>
  <c r="I10" i="3"/>
  <c r="F10" i="3"/>
  <c r="C10" i="3"/>
  <c r="F8" i="3"/>
  <c r="C8" i="3"/>
  <c r="F6" i="3"/>
  <c r="C6" i="3"/>
  <c r="F4" i="3"/>
  <c r="C4" i="3"/>
  <c r="F2" i="3"/>
  <c r="C2" i="3"/>
  <c r="C17" i="2"/>
  <c r="I15" i="2"/>
  <c r="I10" i="2"/>
  <c r="F10" i="2"/>
  <c r="C10" i="2"/>
  <c r="F8" i="2"/>
  <c r="C8" i="2"/>
  <c r="F6" i="2"/>
  <c r="C6" i="2"/>
  <c r="F4" i="2"/>
  <c r="C4" i="2"/>
  <c r="F2" i="2"/>
  <c r="C2" i="2"/>
  <c r="G27" i="1"/>
  <c r="I27" i="1" s="1"/>
  <c r="I26" i="1"/>
  <c r="G26" i="1"/>
  <c r="G23" i="1"/>
  <c r="I23" i="1" s="1"/>
  <c r="G22" i="1"/>
  <c r="I22" i="1" s="1"/>
  <c r="I20" i="1"/>
  <c r="G20" i="1"/>
  <c r="G8" i="1"/>
  <c r="C8" i="1"/>
  <c r="G6" i="1"/>
  <c r="C6" i="1"/>
  <c r="G4" i="1"/>
  <c r="C4" i="1"/>
  <c r="G2" i="1"/>
  <c r="C2" i="1"/>
  <c r="C21" i="2" l="1"/>
  <c r="C16" i="2"/>
  <c r="AL54" i="4"/>
  <c r="AU53" i="4" s="1"/>
  <c r="AX88" i="4"/>
  <c r="AU103" i="4"/>
  <c r="AS117" i="4"/>
  <c r="AX124" i="4"/>
  <c r="I18" i="3"/>
  <c r="AX14" i="4"/>
  <c r="AW15" i="4"/>
  <c r="AV15" i="4" s="1"/>
  <c r="AX68" i="4"/>
  <c r="AX95" i="4"/>
  <c r="AW97" i="4"/>
  <c r="AT103" i="4"/>
  <c r="AX114" i="4"/>
  <c r="AW116" i="4"/>
  <c r="AW13" i="4"/>
  <c r="AV54" i="4"/>
  <c r="I22" i="2"/>
  <c r="AS12" i="4"/>
  <c r="AU17" i="4"/>
  <c r="AT17" i="4"/>
  <c r="AW37" i="4"/>
  <c r="AT49" i="4"/>
  <c r="AT58" i="4"/>
  <c r="AU81" i="4"/>
  <c r="AT81" i="4"/>
  <c r="AS94" i="4"/>
  <c r="AW104" i="4"/>
  <c r="AX105" i="4"/>
  <c r="AX128" i="4"/>
  <c r="BC15" i="4"/>
  <c r="AX16" i="4"/>
  <c r="AW75" i="4"/>
  <c r="AU87" i="4"/>
  <c r="I101" i="4"/>
  <c r="G24" i="1" s="1"/>
  <c r="I24" i="1" s="1"/>
  <c r="I117" i="4"/>
  <c r="G28" i="1" s="1"/>
  <c r="I28" i="1" s="1"/>
  <c r="AW120" i="4"/>
  <c r="AX122" i="4"/>
  <c r="AX102" i="4"/>
  <c r="AX118" i="4"/>
  <c r="AU12" i="4"/>
  <c r="AT12" i="4"/>
  <c r="BC27" i="4"/>
  <c r="AX32" i="4"/>
  <c r="AX35" i="4"/>
  <c r="AV35" i="4" s="1"/>
  <c r="AX47" i="4"/>
  <c r="AV47" i="4" s="1"/>
  <c r="BI54" i="4"/>
  <c r="AC54" i="4" s="1"/>
  <c r="I127" i="4"/>
  <c r="G29" i="1" s="1"/>
  <c r="I29" i="1" s="1"/>
  <c r="AV20" i="4"/>
  <c r="BC20" i="4"/>
  <c r="AV14" i="4"/>
  <c r="BC14" i="4"/>
  <c r="BH20" i="4"/>
  <c r="AB20" i="4" s="1"/>
  <c r="BI27" i="4"/>
  <c r="AC27" i="4" s="1"/>
  <c r="I49" i="4"/>
  <c r="G14" i="1" s="1"/>
  <c r="I14" i="1" s="1"/>
  <c r="AL51" i="4"/>
  <c r="AU49" i="4" s="1"/>
  <c r="I58" i="4"/>
  <c r="G17" i="1" s="1"/>
  <c r="I17" i="1" s="1"/>
  <c r="AL62" i="4"/>
  <c r="AU58" i="4" s="1"/>
  <c r="BH14" i="4"/>
  <c r="AB14" i="4" s="1"/>
  <c r="C14" i="2" s="1"/>
  <c r="BI15" i="4"/>
  <c r="AC15" i="4" s="1"/>
  <c r="C15" i="2" s="1"/>
  <c r="I12" i="4"/>
  <c r="AX13" i="4"/>
  <c r="AV13" i="4" s="1"/>
  <c r="AW16" i="4"/>
  <c r="I17" i="4"/>
  <c r="G12" i="1" s="1"/>
  <c r="I12" i="1" s="1"/>
  <c r="AX18" i="4"/>
  <c r="AV18" i="4" s="1"/>
  <c r="AW32" i="4"/>
  <c r="BC35" i="4"/>
  <c r="BC47" i="4"/>
  <c r="AV51" i="4"/>
  <c r="BC51" i="4"/>
  <c r="BH62" i="4"/>
  <c r="AB62" i="4" s="1"/>
  <c r="AW62" i="4"/>
  <c r="AU127" i="4"/>
  <c r="I27" i="3"/>
  <c r="F29" i="3" s="1"/>
  <c r="BC13" i="4"/>
  <c r="F14" i="2"/>
  <c r="F22" i="2" s="1"/>
  <c r="C28" i="2"/>
  <c r="F28" i="2" s="1"/>
  <c r="AL47" i="4"/>
  <c r="AU36" i="4" s="1"/>
  <c r="I36" i="4"/>
  <c r="G13" i="1" s="1"/>
  <c r="I13" i="1" s="1"/>
  <c r="AU117" i="4"/>
  <c r="AV123" i="4"/>
  <c r="BC131" i="4"/>
  <c r="AX66" i="4"/>
  <c r="BC66" i="4" s="1"/>
  <c r="AW78" i="4"/>
  <c r="I81" i="4"/>
  <c r="G21" i="1" s="1"/>
  <c r="I21" i="1" s="1"/>
  <c r="AX82" i="4"/>
  <c r="BC82" i="4" s="1"/>
  <c r="AW88" i="4"/>
  <c r="AX91" i="4"/>
  <c r="BC91" i="4" s="1"/>
  <c r="AV97" i="4"/>
  <c r="AW102" i="4"/>
  <c r="I103" i="4"/>
  <c r="G25" i="1" s="1"/>
  <c r="I25" i="1" s="1"/>
  <c r="AX104" i="4"/>
  <c r="BC104" i="4" s="1"/>
  <c r="AW114" i="4"/>
  <c r="AX116" i="4"/>
  <c r="AV116" i="4" s="1"/>
  <c r="AW122" i="4"/>
  <c r="AX123" i="4"/>
  <c r="BC123" i="4" s="1"/>
  <c r="AW128" i="4"/>
  <c r="AX131" i="4"/>
  <c r="AV131" i="4" s="1"/>
  <c r="BH131" i="4"/>
  <c r="BC116" i="4"/>
  <c r="AX50" i="4"/>
  <c r="BC50" i="4" s="1"/>
  <c r="AW57" i="4"/>
  <c r="AX59" i="4"/>
  <c r="BC59" i="4" s="1"/>
  <c r="AW68" i="4"/>
  <c r="AX75" i="4"/>
  <c r="AV75" i="4" s="1"/>
  <c r="AW84" i="4"/>
  <c r="AX85" i="4"/>
  <c r="BC85" i="4" s="1"/>
  <c r="AW95" i="4"/>
  <c r="AX97" i="4"/>
  <c r="BC97" i="4" s="1"/>
  <c r="AW105" i="4"/>
  <c r="AX107" i="4"/>
  <c r="BC107" i="4" s="1"/>
  <c r="AW118" i="4"/>
  <c r="AX120" i="4"/>
  <c r="BC120" i="4" s="1"/>
  <c r="AW124" i="4"/>
  <c r="AX126" i="4"/>
  <c r="BC126" i="4" s="1"/>
  <c r="AV85" i="4" l="1"/>
  <c r="AV104" i="4"/>
  <c r="BC37" i="4"/>
  <c r="AV37" i="4"/>
  <c r="BC75" i="4"/>
  <c r="AV126" i="4"/>
  <c r="C22" i="2"/>
  <c r="AV118" i="4"/>
  <c r="BC118" i="4"/>
  <c r="AV128" i="4"/>
  <c r="BC128" i="4"/>
  <c r="AV102" i="4"/>
  <c r="BC102" i="4"/>
  <c r="I132" i="4"/>
  <c r="G11" i="1"/>
  <c r="I11" i="1" s="1"/>
  <c r="G30" i="1" s="1"/>
  <c r="AV107" i="4"/>
  <c r="BC18" i="4"/>
  <c r="AV120" i="4"/>
  <c r="AV62" i="4"/>
  <c r="BC62" i="4"/>
  <c r="AV91" i="4"/>
  <c r="AV59" i="4"/>
  <c r="AV50" i="4"/>
  <c r="AV95" i="4"/>
  <c r="BC95" i="4"/>
  <c r="AV124" i="4"/>
  <c r="BC124" i="4"/>
  <c r="AV84" i="4"/>
  <c r="BC84" i="4"/>
  <c r="AV122" i="4"/>
  <c r="BC122" i="4"/>
  <c r="BC16" i="4"/>
  <c r="AV16" i="4"/>
  <c r="AV82" i="4"/>
  <c r="AV68" i="4"/>
  <c r="BC68" i="4"/>
  <c r="AV114" i="4"/>
  <c r="BC114" i="4"/>
  <c r="AV105" i="4"/>
  <c r="BC105" i="4"/>
  <c r="BC57" i="4"/>
  <c r="AV57" i="4"/>
  <c r="AV88" i="4"/>
  <c r="BC88" i="4"/>
  <c r="AV78" i="4"/>
  <c r="BC78" i="4"/>
  <c r="AV66" i="4"/>
  <c r="C29" i="2"/>
  <c r="F29" i="2" s="1"/>
  <c r="BC32" i="4"/>
  <c r="AV32" i="4"/>
  <c r="I28" i="2" l="1"/>
  <c r="I29" i="2" s="1"/>
</calcChain>
</file>

<file path=xl/sharedStrings.xml><?xml version="1.0" encoding="utf-8"?>
<sst xmlns="http://schemas.openxmlformats.org/spreadsheetml/2006/main" count="1061" uniqueCount="348">
  <si>
    <t>Slepý stavební rozpočet - rekapitulace</t>
  </si>
  <si>
    <t>Název stavby:</t>
  </si>
  <si>
    <t>Doba výstavby:</t>
  </si>
  <si>
    <t xml:space="preserve"> </t>
  </si>
  <si>
    <t>Objednatel:</t>
  </si>
  <si>
    <t>Druh stavby:</t>
  </si>
  <si>
    <t>Začátek výstavby:</t>
  </si>
  <si>
    <t>08.07.2024</t>
  </si>
  <si>
    <t>Projektant:</t>
  </si>
  <si>
    <t>Lokalita:</t>
  </si>
  <si>
    <t>Konec výstavby:</t>
  </si>
  <si>
    <t>Zhotovitel:</t>
  </si>
  <si>
    <t>Zpracoval:</t>
  </si>
  <si>
    <t>Zpracováno dne:</t>
  </si>
  <si>
    <t>Objekt</t>
  </si>
  <si>
    <t>Kód</t>
  </si>
  <si>
    <t>Zkrácený popis</t>
  </si>
  <si>
    <t>Náklady (Kč) - celkem</t>
  </si>
  <si>
    <t/>
  </si>
  <si>
    <t>000</t>
  </si>
  <si>
    <t>Vedlejší a ostatní náklady</t>
  </si>
  <si>
    <t>T</t>
  </si>
  <si>
    <t>11</t>
  </si>
  <si>
    <t>Přípravné a přidružené práce</t>
  </si>
  <si>
    <t>12</t>
  </si>
  <si>
    <t>Odkopávky a prokopávky</t>
  </si>
  <si>
    <t>16</t>
  </si>
  <si>
    <t>Přemístění výkopku</t>
  </si>
  <si>
    <t>18</t>
  </si>
  <si>
    <t>Povrchové úpravy terénu</t>
  </si>
  <si>
    <t>19</t>
  </si>
  <si>
    <t>Hloubení pro podzemní stěny, ražení a hloubení důlní</t>
  </si>
  <si>
    <t>27</t>
  </si>
  <si>
    <t>Základy</t>
  </si>
  <si>
    <t>32</t>
  </si>
  <si>
    <t>Zdi přehradní a opěrné</t>
  </si>
  <si>
    <t>34</t>
  </si>
  <si>
    <t>Stěny a příčky</t>
  </si>
  <si>
    <t>56</t>
  </si>
  <si>
    <t>Podkladní vrstvy komunikací, letišť a ploch</t>
  </si>
  <si>
    <t>59</t>
  </si>
  <si>
    <t>Kryty pozemních komunikací, letišť a ploch dlážděných (předlažby)</t>
  </si>
  <si>
    <t>63</t>
  </si>
  <si>
    <t>Podlahy a podlahové konstrukce</t>
  </si>
  <si>
    <t>91</t>
  </si>
  <si>
    <t>Doplňující konstrukce a práce na pozemních komunikacích a zpevněných plochách</t>
  </si>
  <si>
    <t>93</t>
  </si>
  <si>
    <t>Různé dokončovací konstrukce a práce inženýrských staveb</t>
  </si>
  <si>
    <t>95</t>
  </si>
  <si>
    <t>Různé dokončovací konstrukce a práce na pozemních stavbách</t>
  </si>
  <si>
    <t>96</t>
  </si>
  <si>
    <t>Bourání konstrukcí</t>
  </si>
  <si>
    <t>97</t>
  </si>
  <si>
    <t>Prorážení otvorů a ostatní bourací práce</t>
  </si>
  <si>
    <t>S</t>
  </si>
  <si>
    <t>Přesuny sutí</t>
  </si>
  <si>
    <t>767</t>
  </si>
  <si>
    <t>Konstrukce doplňkové stavební (zámečnické)</t>
  </si>
  <si>
    <t>Celkem:</t>
  </si>
  <si>
    <t>Krycí list slepého rozpočtu</t>
  </si>
  <si>
    <t>IČO/DIČ:</t>
  </si>
  <si>
    <t>Položek:</t>
  </si>
  <si>
    <t>JKSO: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</si>
  <si>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</si>
  <si>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</si>
  <si>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</si>
  <si>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</si>
  <si>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</si>
  <si>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</si>
  <si>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</si>
  <si>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</si>
  <si>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</si>
  <si>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</si>
  <si>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</si>
  <si>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</si>
  <si>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</si>
  <si>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</si>
  <si>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</si>
  <si>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</si>
  <si>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</si>
  <si>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</si>
  <si>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</si>
  <si>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</si>
  <si>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</si>
  <si>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</si>
  <si>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</si>
  <si>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</si>
  <si>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</si>
  <si>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</si>
  <si>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</si>
  <si>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</si>
  <si>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</si>
  <si>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</si>
  <si>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</si>
  <si>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</si>
  <si>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</si>
  <si>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</si>
  <si>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</si>
  <si>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</si>
  <si>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</si>
  <si>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</si>
  <si>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</si>
  <si>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</si>
  <si>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</si>
  <si>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</si>
  <si>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</si>
  <si>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</si>
  <si>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</si>
  <si>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</si>
  <si>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</si>
  <si>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</si>
  <si>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</si>
  <si>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</si>
  <si>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</si>
  <si>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</si>
  <si>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</si>
  <si>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</si>
  <si>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</si>
  <si>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Slepý stavební rozpočet</t>
  </si>
  <si>
    <t>24107 Bruntál, Šrámkova, oprava dětského hřiště</t>
  </si>
  <si>
    <t> </t>
  </si>
  <si>
    <t>Č</t>
  </si>
  <si>
    <t>Zkrácený popis / Varianta</t>
  </si>
  <si>
    <t>MJ</t>
  </si>
  <si>
    <t>Množství</t>
  </si>
  <si>
    <t>Cena/MJ</t>
  </si>
  <si>
    <t>Náklady (Kč)</t>
  </si>
  <si>
    <t>ISWORK</t>
  </si>
  <si>
    <t>GROUPCODE</t>
  </si>
  <si>
    <t>VATTAX</t>
  </si>
  <si>
    <t>Rozměry</t>
  </si>
  <si>
    <t>(Kč)</t>
  </si>
  <si>
    <t>Celkem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</si>
  <si>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</si>
  <si>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</si>
  <si>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</si>
  <si>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</si>
  <si>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</si>
  <si>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</si>
  <si>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</si>
  <si>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</si>
  <si>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</si>
  <si>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</si>
  <si>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</si>
  <si>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</si>
  <si>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</t>
  </si>
  <si>
    <t>123119VD</t>
  </si>
  <si>
    <t>Fotodokumentace</t>
  </si>
  <si>
    <t>kpl</t>
  </si>
  <si>
    <t>000_</t>
  </si>
  <si>
    <t>0_</t>
  </si>
  <si>
    <t>_</t>
  </si>
  <si>
    <t>2</t>
  </si>
  <si>
    <t>123140VD</t>
  </si>
  <si>
    <t>Čistění komunikací po dobu výstavby</t>
  </si>
  <si>
    <t>3</t>
  </si>
  <si>
    <t>123171VD</t>
  </si>
  <si>
    <t>Přechodné dopravní značení</t>
  </si>
  <si>
    <t>4</t>
  </si>
  <si>
    <t>123188VD</t>
  </si>
  <si>
    <t>Vytýčení sítí</t>
  </si>
  <si>
    <t>5</t>
  </si>
  <si>
    <t>113106121R00</t>
  </si>
  <si>
    <t>Rozebrání dlažeb z betonových dlaždic na sucho</t>
  </si>
  <si>
    <t>m2</t>
  </si>
  <si>
    <t>11_</t>
  </si>
  <si>
    <t>1_</t>
  </si>
  <si>
    <t>6,5*2,0</t>
  </si>
  <si>
    <t>6</t>
  </si>
  <si>
    <t>113109415R00</t>
  </si>
  <si>
    <t>Odstranění podkladu pl.nad 50 m2, beton, tl. 15 cm</t>
  </si>
  <si>
    <t>spodní chodník</t>
  </si>
  <si>
    <t>12,0*2,0</t>
  </si>
  <si>
    <t>část chodníku kolem hřiště</t>
  </si>
  <si>
    <t>15,0*0,5</t>
  </si>
  <si>
    <t>vlastní hřiště</t>
  </si>
  <si>
    <t>14,0*11,7-4,2*4,2*2</t>
  </si>
  <si>
    <t>7</t>
  </si>
  <si>
    <t>113108405R00</t>
  </si>
  <si>
    <t>Odstranění asfaltové vrstvy pl.nad 50 m2, tl. 5 cm</t>
  </si>
  <si>
    <t>8</t>
  </si>
  <si>
    <t>113201111R00</t>
  </si>
  <si>
    <t>Vytrhání obrubníků chodníkových a parkových</t>
  </si>
  <si>
    <t>m</t>
  </si>
  <si>
    <t>18,5*2</t>
  </si>
  <si>
    <t>14,0+11,7-3,9+11,7-5,65</t>
  </si>
  <si>
    <t>9</t>
  </si>
  <si>
    <t>113231110R00</t>
  </si>
  <si>
    <t>Bourání odvodňovacího žlabu</t>
  </si>
  <si>
    <t>10</t>
  </si>
  <si>
    <t>122201101R00</t>
  </si>
  <si>
    <t>Odkopávky nezapažené v hor. 3 do 100 m3</t>
  </si>
  <si>
    <t>m3</t>
  </si>
  <si>
    <t>12_</t>
  </si>
  <si>
    <t>kolem opěrných zdí</t>
  </si>
  <si>
    <t>15,0*0,5*1,1</t>
  </si>
  <si>
    <t>3,9*0,5*(0,7+1,1)/2</t>
  </si>
  <si>
    <t>5,65*0,5*(0,7+1,1)/2</t>
  </si>
  <si>
    <t>hřiště</t>
  </si>
  <si>
    <t>11,70*14,0*0,2</t>
  </si>
  <si>
    <t>6,5*2,3*0,35</t>
  </si>
  <si>
    <t>12,0*2,3*0,15</t>
  </si>
  <si>
    <t>122201109R00</t>
  </si>
  <si>
    <t>Příplatek za lepivost - odkopávky v hor. 3</t>
  </si>
  <si>
    <t>54,679*0,5</t>
  </si>
  <si>
    <t>162701105R00</t>
  </si>
  <si>
    <t>Vodorovné přemístění výkopku z hor.1-4 do 10000 m</t>
  </si>
  <si>
    <t>16_</t>
  </si>
  <si>
    <t>13</t>
  </si>
  <si>
    <t>162701109R00</t>
  </si>
  <si>
    <t>Příplatek k vod. přemístění hor.1-4 za další 1 km</t>
  </si>
  <si>
    <t>54,679*6</t>
  </si>
  <si>
    <t>14</t>
  </si>
  <si>
    <t>181101111R00</t>
  </si>
  <si>
    <t>Úprava pláně v zářezech se zhutněním - ručně</t>
  </si>
  <si>
    <t>18_</t>
  </si>
  <si>
    <t>11,7*14,0</t>
  </si>
  <si>
    <t>15</t>
  </si>
  <si>
    <t>199000002R00</t>
  </si>
  <si>
    <t>Poplatek za skládku horniny 1- 4, č. dle katal. odpadů 17 05 04</t>
  </si>
  <si>
    <t>19_</t>
  </si>
  <si>
    <t>274361214R00</t>
  </si>
  <si>
    <t>Výztuž základových pasů do 12 mm z oceli B500B (10 505)</t>
  </si>
  <si>
    <t>t</t>
  </si>
  <si>
    <t>27_</t>
  </si>
  <si>
    <t>2_</t>
  </si>
  <si>
    <t>kotevní trny do původního základu 12mm</t>
  </si>
  <si>
    <t>0,5*50,0*0,888*0,001</t>
  </si>
  <si>
    <t>17</t>
  </si>
  <si>
    <t>274272150RT4</t>
  </si>
  <si>
    <t>Zdivo základové z bednicích tvárnic, tl. 400 mm</t>
  </si>
  <si>
    <t>Varianta:</t>
  </si>
  <si>
    <t>výplň tvárnic betonem C 20/25</t>
  </si>
  <si>
    <t>14,7*1,0</t>
  </si>
  <si>
    <t>3,9*1,0+5,65*1,0</t>
  </si>
  <si>
    <t>274361022R00</t>
  </si>
  <si>
    <t>Výztuž zdiva základových pasů z tvárnic ztraceného bednění 12 prutů/m2, průměr 12 mm</t>
  </si>
  <si>
    <t>327501111R00</t>
  </si>
  <si>
    <t>Výplň za opěrami z kamene drceného i těženého</t>
  </si>
  <si>
    <t>32_</t>
  </si>
  <si>
    <t>3_</t>
  </si>
  <si>
    <t>protimrazový klín</t>
  </si>
  <si>
    <t>20</t>
  </si>
  <si>
    <t>348942122R00</t>
  </si>
  <si>
    <t>Zábradlí ocel. s osazením do otvorů, ze 3 trubek</t>
  </si>
  <si>
    <t>34_</t>
  </si>
  <si>
    <t>14,0+3,9+5,65</t>
  </si>
  <si>
    <t>21</t>
  </si>
  <si>
    <t>564871111R00</t>
  </si>
  <si>
    <t>Podklad ze štěrkodrti po zhutnění tloušťky 25 cm</t>
  </si>
  <si>
    <t>56_</t>
  </si>
  <si>
    <t>5_</t>
  </si>
  <si>
    <t>chodník</t>
  </si>
  <si>
    <t>18,5*2,3</t>
  </si>
  <si>
    <t>22</t>
  </si>
  <si>
    <t>596215021R00</t>
  </si>
  <si>
    <t>Kladení zámkové dlažby tl. 6 cm do drtě tl. 4 cm</t>
  </si>
  <si>
    <t>59_</t>
  </si>
  <si>
    <t>18,5*2,0</t>
  </si>
  <si>
    <t>23</t>
  </si>
  <si>
    <t>596291111R00</t>
  </si>
  <si>
    <t>Řezání zámkové dlažby tl. 60 mm</t>
  </si>
  <si>
    <t>24</t>
  </si>
  <si>
    <t>59245110</t>
  </si>
  <si>
    <t>Dlažba skladebná HOLLAND I 200 x 100 x 60 mm přírodní</t>
  </si>
  <si>
    <t>37,0*1,02</t>
  </si>
  <si>
    <t>25</t>
  </si>
  <si>
    <t>631315711R00</t>
  </si>
  <si>
    <t>Mazanina betonová tl. 12 - 24 cm C 25/30</t>
  </si>
  <si>
    <t>63_</t>
  </si>
  <si>
    <t>6_</t>
  </si>
  <si>
    <t>doplnění horního chodníku</t>
  </si>
  <si>
    <t>15,0*0,5*0,15</t>
  </si>
  <si>
    <t>26</t>
  </si>
  <si>
    <t>632451024R00</t>
  </si>
  <si>
    <t>Vyrovnávací potěr MC 15, v pásu, tl. 50 mm</t>
  </si>
  <si>
    <t>pod a nad ztracené bednění</t>
  </si>
  <si>
    <t>(14,7+5,65+3,9)*0,4*2</t>
  </si>
  <si>
    <t>919735123R00</t>
  </si>
  <si>
    <t>Řezání stávajícího betonového krytu tl. 10 - 15 cm</t>
  </si>
  <si>
    <t>91_</t>
  </si>
  <si>
    <t>9_</t>
  </si>
  <si>
    <t>15,0+0,5+0,5</t>
  </si>
  <si>
    <t>28</t>
  </si>
  <si>
    <t>917812111RT5</t>
  </si>
  <si>
    <t>Osazení stojat. obrub. bet. bez opěry,lože z kamen</t>
  </si>
  <si>
    <t>včetně obrubníku ABO 100/10/25</t>
  </si>
  <si>
    <t>29</t>
  </si>
  <si>
    <t>935111111R00</t>
  </si>
  <si>
    <t>Osazení přík. žlabu do štěrkopísku z tvárnic 50 cm</t>
  </si>
  <si>
    <t>93_</t>
  </si>
  <si>
    <t>30</t>
  </si>
  <si>
    <t>953981203R00</t>
  </si>
  <si>
    <t>Chemické kotvy, beton, hl.110 mm, M12, malta 2slož</t>
  </si>
  <si>
    <t>kus</t>
  </si>
  <si>
    <t>95_</t>
  </si>
  <si>
    <t>31</t>
  </si>
  <si>
    <t>998223011R00</t>
  </si>
  <si>
    <t>Přesun hmot, pozemní komunikace, kryt dlážděný</t>
  </si>
  <si>
    <t>962042321R00</t>
  </si>
  <si>
    <t>Bourání zdiva nadzákladového z betonu prostého</t>
  </si>
  <si>
    <t>96_</t>
  </si>
  <si>
    <t>14,7*0,35*1,1</t>
  </si>
  <si>
    <t>3,9*(0,7+1,1)/2*0,35</t>
  </si>
  <si>
    <t>5,65*(0,7+1,1)/2*0,35</t>
  </si>
  <si>
    <t>pískoviště</t>
  </si>
  <si>
    <t>(4,2+3,8)*2*0,2*0,4*2</t>
  </si>
  <si>
    <t>33</t>
  </si>
  <si>
    <t>976071111R00</t>
  </si>
  <si>
    <t>Vybourání kovových zábradlí a madel</t>
  </si>
  <si>
    <t>97_</t>
  </si>
  <si>
    <t>14,7+3,9+5,65</t>
  </si>
  <si>
    <t>979024441R00</t>
  </si>
  <si>
    <t>Očištění vybour. žlabovek všech loží a výplní</t>
  </si>
  <si>
    <t>35</t>
  </si>
  <si>
    <t>979081111R00</t>
  </si>
  <si>
    <t>Odvoz suti a vybour. hmot na skládku do 1 km</t>
  </si>
  <si>
    <t>S_</t>
  </si>
  <si>
    <t>91,7212+24,7181+0,8973</t>
  </si>
  <si>
    <t>36</t>
  </si>
  <si>
    <t>979081121R00</t>
  </si>
  <si>
    <t>Příplatek k odvozu za každý další 1 km</t>
  </si>
  <si>
    <t>117,337*3</t>
  </si>
  <si>
    <t>37</t>
  </si>
  <si>
    <t>979082111R00</t>
  </si>
  <si>
    <t>Vnitrostaveništní doprava suti do 10 m</t>
  </si>
  <si>
    <t>38</t>
  </si>
  <si>
    <t>979951112R00</t>
  </si>
  <si>
    <t>Výkup kovů - železný šrot tl. nad 4 mm</t>
  </si>
  <si>
    <t>39</t>
  </si>
  <si>
    <t>979999982R00</t>
  </si>
  <si>
    <t>Poplatek za recyklaci betonu kusovost nad 1600 cm2 (skup.170101)</t>
  </si>
  <si>
    <t>91,7212-16,7772+24,7181</t>
  </si>
  <si>
    <t>40</t>
  </si>
  <si>
    <t>979999996R00</t>
  </si>
  <si>
    <t>Poplatek za recyklaci asfaltu, kusovost nad 1600 cm2 (skup.170302)</t>
  </si>
  <si>
    <t>41</t>
  </si>
  <si>
    <t>767951115R00</t>
  </si>
  <si>
    <t>Pozinkování ocelových výrobků, hmotnost celková od 300 do 500 kg</t>
  </si>
  <si>
    <t>kg</t>
  </si>
  <si>
    <t>767_</t>
  </si>
  <si>
    <t>76_</t>
  </si>
  <si>
    <t>zábradlí</t>
  </si>
  <si>
    <t>26,7*23,55</t>
  </si>
  <si>
    <t>42</t>
  </si>
  <si>
    <t>998767201R00</t>
  </si>
  <si>
    <t>Přesun hmot pro zámečnické konstr., výšky do 6 m</t>
  </si>
  <si>
    <t>Dlažba skladebná 200 x 100 x 60 mm přírodní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</si>
</sst>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i/>
      <sz val="10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7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3" fillId="0" borderId="13" xfId="0" applyNumberFormat="1" applyFont="1" applyFill="1" applyBorder="1" applyAlignment="1" applyProtection="1">
      <alignment horizontal="left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left" vertical="center"/>
    </xf>
    <xf numFmtId="0" fontId="2" fillId="0" borderId="16" xfId="0" applyNumberFormat="1" applyFont="1" applyFill="1" applyBorder="1" applyAlignment="1" applyProtection="1">
      <alignment horizontal="left" vertical="center"/>
    </xf>
    <xf numFmtId="4" fontId="2" fillId="0" borderId="16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2" fillId="0" borderId="17" xfId="0" applyNumberFormat="1" applyFont="1" applyFill="1" applyBorder="1" applyAlignment="1" applyProtection="1">
      <alignment horizontal="left" vertical="center"/>
    </xf>
    <xf numFmtId="0" fontId="5" fillId="2" borderId="20" xfId="0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left" vertical="center"/>
    </xf>
    <xf numFmtId="0" fontId="8" fillId="0" borderId="25" xfId="0" applyNumberFormat="1" applyFont="1" applyFill="1" applyBorder="1" applyAlignment="1" applyProtection="1">
      <alignment horizontal="left" vertical="center"/>
    </xf>
    <xf numFmtId="4" fontId="8" fillId="0" borderId="25" xfId="0" applyNumberFormat="1" applyFont="1" applyFill="1" applyBorder="1" applyAlignment="1" applyProtection="1">
      <alignment horizontal="right" vertical="center"/>
    </xf>
    <xf numFmtId="0" fontId="8" fillId="0" borderId="25" xfId="0" applyNumberFormat="1" applyFont="1" applyFill="1" applyBorder="1" applyAlignment="1" applyProtection="1">
      <alignment horizontal="right" vertical="center"/>
    </xf>
    <xf numFmtId="0" fontId="7" fillId="0" borderId="28" xfId="0" applyNumberFormat="1" applyFont="1" applyFill="1" applyBorder="1" applyAlignment="1" applyProtection="1">
      <alignment horizontal="left" vertical="center"/>
    </xf>
    <xf numFmtId="4" fontId="8" fillId="0" borderId="32" xfId="0" applyNumberFormat="1" applyFont="1" applyFill="1" applyBorder="1" applyAlignment="1" applyProtection="1">
      <alignment horizontal="right" vertical="center"/>
    </xf>
    <xf numFmtId="0" fontId="8" fillId="0" borderId="32" xfId="0" applyNumberFormat="1" applyFont="1" applyFill="1" applyBorder="1" applyAlignment="1" applyProtection="1">
      <alignment horizontal="right" vertical="center"/>
    </xf>
    <xf numFmtId="4" fontId="8" fillId="0" borderId="23" xfId="0" applyNumberFormat="1" applyFont="1" applyFill="1" applyBorder="1" applyAlignment="1" applyProtection="1">
      <alignment horizontal="right" vertical="center"/>
    </xf>
    <xf numFmtId="4" fontId="8" fillId="0" borderId="35" xfId="0" applyNumberFormat="1" applyFont="1" applyFill="1" applyBorder="1" applyAlignment="1" applyProtection="1">
      <alignment horizontal="right" vertical="center"/>
    </xf>
    <xf numFmtId="4" fontId="7" fillId="2" borderId="22" xfId="0" applyNumberFormat="1" applyFont="1" applyFill="1" applyBorder="1" applyAlignment="1" applyProtection="1">
      <alignment horizontal="right" vertical="center"/>
    </xf>
    <xf numFmtId="4" fontId="7" fillId="2" borderId="27" xfId="0" applyNumberFormat="1" applyFont="1" applyFill="1" applyBorder="1" applyAlignment="1" applyProtection="1">
      <alignment horizontal="right" vertical="center"/>
    </xf>
    <xf numFmtId="0" fontId="9" fillId="0" borderId="16" xfId="0" applyNumberFormat="1" applyFont="1" applyFill="1" applyBorder="1" applyAlignment="1" applyProtection="1">
      <alignment horizontal="left" vertical="center"/>
    </xf>
    <xf numFmtId="0" fontId="3" fillId="0" borderId="52" xfId="0" applyNumberFormat="1" applyFont="1" applyFill="1" applyBorder="1" applyAlignment="1" applyProtection="1">
      <alignment horizontal="right" vertical="center"/>
    </xf>
    <xf numFmtId="4" fontId="2" fillId="0" borderId="25" xfId="0" applyNumberFormat="1" applyFont="1" applyFill="1" applyBorder="1" applyAlignment="1" applyProtection="1">
      <alignment horizontal="right" vertical="center"/>
    </xf>
    <xf numFmtId="0" fontId="2" fillId="0" borderId="25" xfId="0" applyNumberFormat="1" applyFont="1" applyFill="1" applyBorder="1" applyAlignment="1" applyProtection="1">
      <alignment horizontal="left" vertical="center"/>
    </xf>
    <xf numFmtId="4" fontId="2" fillId="0" borderId="56" xfId="0" applyNumberFormat="1" applyFont="1" applyFill="1" applyBorder="1" applyAlignment="1" applyProtection="1">
      <alignment horizontal="right" vertical="center"/>
    </xf>
    <xf numFmtId="0" fontId="2" fillId="0" borderId="56" xfId="0" applyNumberFormat="1" applyFont="1" applyFill="1" applyBorder="1" applyAlignment="1" applyProtection="1">
      <alignment horizontal="left" vertical="center"/>
    </xf>
    <xf numFmtId="0" fontId="3" fillId="0" borderId="60" xfId="0" applyNumberFormat="1" applyFont="1" applyFill="1" applyBorder="1" applyAlignment="1" applyProtection="1">
      <alignment horizontal="left" vertical="center"/>
    </xf>
    <xf numFmtId="0" fontId="3" fillId="0" borderId="60" xfId="0" applyNumberFormat="1" applyFont="1" applyFill="1" applyBorder="1" applyAlignment="1" applyProtection="1">
      <alignment horizontal="right" vertical="center"/>
    </xf>
    <xf numFmtId="4" fontId="3" fillId="0" borderId="60" xfId="0" applyNumberFormat="1" applyFont="1" applyFill="1" applyBorder="1" applyAlignment="1" applyProtection="1">
      <alignment horizontal="right" vertical="center"/>
    </xf>
    <xf numFmtId="4" fontId="3" fillId="2" borderId="0" xfId="0" applyNumberFormat="1" applyFont="1" applyFill="1" applyBorder="1" applyAlignment="1" applyProtection="1">
      <alignment horizontal="right" vertical="center"/>
    </xf>
    <xf numFmtId="0" fontId="3" fillId="0" borderId="62" xfId="0" applyNumberFormat="1" applyFont="1" applyFill="1" applyBorder="1" applyAlignment="1" applyProtection="1">
      <alignment horizontal="left" vertical="center"/>
    </xf>
    <xf numFmtId="0" fontId="3" fillId="0" borderId="63" xfId="0" applyNumberFormat="1" applyFont="1" applyFill="1" applyBorder="1" applyAlignment="1" applyProtection="1">
      <alignment horizontal="left" vertical="center"/>
    </xf>
    <xf numFmtId="0" fontId="3" fillId="0" borderId="63" xfId="0" applyNumberFormat="1" applyFont="1" applyFill="1" applyBorder="1" applyAlignment="1" applyProtection="1">
      <alignment horizontal="center" vertical="center"/>
    </xf>
    <xf numFmtId="0" fontId="3" fillId="0" borderId="66" xfId="0" applyNumberFormat="1" applyFont="1" applyFill="1" applyBorder="1" applyAlignment="1" applyProtection="1">
      <alignment horizontal="center" vertical="center"/>
    </xf>
    <xf numFmtId="0" fontId="3" fillId="0" borderId="67" xfId="0" applyNumberFormat="1" applyFont="1" applyFill="1" applyBorder="1" applyAlignment="1" applyProtection="1">
      <alignment horizontal="center" vertical="center"/>
    </xf>
    <xf numFmtId="0" fontId="0" fillId="0" borderId="68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2" fillId="0" borderId="69" xfId="0" applyNumberFormat="1" applyFont="1" applyFill="1" applyBorder="1" applyAlignment="1" applyProtection="1">
      <alignment horizontal="left" vertical="center"/>
    </xf>
    <xf numFmtId="0" fontId="2" fillId="0" borderId="70" xfId="0" applyNumberFormat="1" applyFont="1" applyFill="1" applyBorder="1" applyAlignment="1" applyProtection="1">
      <alignment horizontal="left" vertical="center"/>
    </xf>
    <xf numFmtId="0" fontId="3" fillId="0" borderId="70" xfId="0" applyNumberFormat="1" applyFont="1" applyFill="1" applyBorder="1" applyAlignment="1" applyProtection="1">
      <alignment horizontal="center" vertical="center"/>
    </xf>
    <xf numFmtId="0" fontId="3" fillId="0" borderId="7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/>
    <xf numFmtId="0" fontId="2" fillId="2" borderId="15" xfId="0" applyNumberFormat="1" applyFont="1" applyFill="1" applyBorder="1" applyAlignment="1" applyProtection="1">
      <alignment horizontal="left" vertical="center"/>
    </xf>
    <xf numFmtId="0" fontId="3" fillId="2" borderId="16" xfId="0" applyNumberFormat="1" applyFont="1" applyFill="1" applyBorder="1" applyAlignment="1" applyProtection="1">
      <alignment horizontal="left" vertical="center"/>
    </xf>
    <xf numFmtId="0" fontId="2" fillId="2" borderId="16" xfId="0" applyNumberFormat="1" applyFont="1" applyFill="1" applyBorder="1" applyAlignment="1" applyProtection="1">
      <alignment horizontal="left" vertical="center"/>
    </xf>
    <xf numFmtId="4" fontId="3" fillId="2" borderId="1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0" fillId="0" borderId="5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vertical="center"/>
    </xf>
    <xf numFmtId="4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4" fontId="2" fillId="0" borderId="9" xfId="0" applyNumberFormat="1" applyFont="1" applyFill="1" applyBorder="1" applyAlignment="1" applyProtection="1">
      <alignment horizontal="right" vertical="center"/>
    </xf>
    <xf numFmtId="0" fontId="0" fillId="0" borderId="9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4" fontId="3" fillId="0" borderId="74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0" fontId="8" fillId="0" borderId="41" xfId="0" applyNumberFormat="1" applyFont="1" applyFill="1" applyBorder="1" applyAlignment="1" applyProtection="1">
      <alignment horizontal="left" vertical="center"/>
    </xf>
    <xf numFmtId="0" fontId="8" fillId="0" borderId="39" xfId="0" applyNumberFormat="1" applyFont="1" applyFill="1" applyBorder="1" applyAlignment="1" applyProtection="1">
      <alignment horizontal="left" vertical="center"/>
    </xf>
    <xf numFmtId="0" fontId="8" fillId="0" borderId="40" xfId="0" applyNumberFormat="1" applyFont="1" applyFill="1" applyBorder="1" applyAlignment="1" applyProtection="1">
      <alignment horizontal="left" vertical="center"/>
    </xf>
    <xf numFmtId="0" fontId="8" fillId="0" borderId="44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43" xfId="0" applyNumberFormat="1" applyFont="1" applyFill="1" applyBorder="1" applyAlignment="1" applyProtection="1">
      <alignment horizontal="left" vertical="center"/>
    </xf>
    <xf numFmtId="0" fontId="8" fillId="0" borderId="48" xfId="0" applyNumberFormat="1" applyFont="1" applyFill="1" applyBorder="1" applyAlignment="1" applyProtection="1">
      <alignment horizontal="left" vertical="center"/>
    </xf>
    <xf numFmtId="0" fontId="8" fillId="0" borderId="46" xfId="0" applyNumberFormat="1" applyFont="1" applyFill="1" applyBorder="1" applyAlignment="1" applyProtection="1">
      <alignment horizontal="left" vertical="center"/>
    </xf>
    <xf numFmtId="0" fontId="8" fillId="0" borderId="47" xfId="0" applyNumberFormat="1" applyFont="1" applyFill="1" applyBorder="1" applyAlignment="1" applyProtection="1">
      <alignment horizontal="left" vertical="center"/>
    </xf>
    <xf numFmtId="0" fontId="8" fillId="0" borderId="38" xfId="0" applyNumberFormat="1" applyFont="1" applyFill="1" applyBorder="1" applyAlignment="1" applyProtection="1">
      <alignment horizontal="left" vertical="center"/>
    </xf>
    <xf numFmtId="0" fontId="8" fillId="0" borderId="42" xfId="0" applyNumberFormat="1" applyFont="1" applyFill="1" applyBorder="1" applyAlignment="1" applyProtection="1">
      <alignment horizontal="left" vertical="center"/>
    </xf>
    <xf numFmtId="0" fontId="8" fillId="0" borderId="45" xfId="0" applyNumberFormat="1" applyFont="1" applyFill="1" applyBorder="1" applyAlignment="1" applyProtection="1">
      <alignment horizontal="left" vertical="center"/>
    </xf>
    <xf numFmtId="0" fontId="7" fillId="0" borderId="29" xfId="0" applyNumberFormat="1" applyFont="1" applyFill="1" applyBorder="1" applyAlignment="1" applyProtection="1">
      <alignment horizontal="left" vertical="center"/>
    </xf>
    <xf numFmtId="0" fontId="7" fillId="0" borderId="27" xfId="0" applyNumberFormat="1" applyFont="1" applyFill="1" applyBorder="1" applyAlignment="1" applyProtection="1">
      <alignment horizontal="left" vertical="center"/>
    </xf>
    <xf numFmtId="0" fontId="7" fillId="2" borderId="34" xfId="0" applyNumberFormat="1" applyFont="1" applyFill="1" applyBorder="1" applyAlignment="1" applyProtection="1">
      <alignment horizontal="left" vertical="center"/>
    </xf>
    <xf numFmtId="0" fontId="7" fillId="2" borderId="36" xfId="0" applyNumberFormat="1" applyFont="1" applyFill="1" applyBorder="1" applyAlignment="1" applyProtection="1">
      <alignment horizontal="left" vertical="center"/>
    </xf>
    <xf numFmtId="0" fontId="7" fillId="2" borderId="29" xfId="0" applyNumberFormat="1" applyFont="1" applyFill="1" applyBorder="1" applyAlignment="1" applyProtection="1">
      <alignment horizontal="left" vertical="center"/>
    </xf>
    <xf numFmtId="0" fontId="7" fillId="2" borderId="37" xfId="0" applyNumberFormat="1" applyFont="1" applyFill="1" applyBorder="1" applyAlignment="1" applyProtection="1">
      <alignment horizontal="left" vertical="center"/>
    </xf>
    <xf numFmtId="0" fontId="7" fillId="2" borderId="21" xfId="0" applyNumberFormat="1" applyFont="1" applyFill="1" applyBorder="1" applyAlignment="1" applyProtection="1">
      <alignment horizontal="left" vertical="center"/>
    </xf>
    <xf numFmtId="0" fontId="7" fillId="2" borderId="26" xfId="0" applyNumberFormat="1" applyFont="1" applyFill="1" applyBorder="1" applyAlignment="1" applyProtection="1">
      <alignment horizontal="left" vertical="center"/>
    </xf>
    <xf numFmtId="0" fontId="8" fillId="0" borderId="26" xfId="0" applyNumberFormat="1" applyFont="1" applyFill="1" applyBorder="1" applyAlignment="1" applyProtection="1">
      <alignment horizontal="left" vertical="center"/>
    </xf>
    <xf numFmtId="0" fontId="8" fillId="0" borderId="27" xfId="0" applyNumberFormat="1" applyFont="1" applyFill="1" applyBorder="1" applyAlignment="1" applyProtection="1">
      <alignment horizontal="left" vertical="center"/>
    </xf>
    <xf numFmtId="0" fontId="8" fillId="0" borderId="33" xfId="0" applyNumberFormat="1" applyFont="1" applyFill="1" applyBorder="1" applyAlignment="1" applyProtection="1">
      <alignment horizontal="left" vertical="center"/>
    </xf>
    <xf numFmtId="0" fontId="8" fillId="0" borderId="31" xfId="0" applyNumberFormat="1" applyFont="1" applyFill="1" applyBorder="1" applyAlignment="1" applyProtection="1">
      <alignment horizontal="left" vertical="center"/>
    </xf>
    <xf numFmtId="0" fontId="7" fillId="0" borderId="21" xfId="0" applyNumberFormat="1" applyFont="1" applyFill="1" applyBorder="1" applyAlignment="1" applyProtection="1">
      <alignment horizontal="left" vertical="center"/>
    </xf>
    <xf numFmtId="0" fontId="7" fillId="0" borderId="22" xfId="0" applyNumberFormat="1" applyFont="1" applyFill="1" applyBorder="1" applyAlignment="1" applyProtection="1">
      <alignment horizontal="left" vertical="center"/>
    </xf>
    <xf numFmtId="0" fontId="7" fillId="0" borderId="26" xfId="0" applyNumberFormat="1" applyFont="1" applyFill="1" applyBorder="1" applyAlignment="1" applyProtection="1">
      <alignment horizontal="left" vertical="center"/>
    </xf>
    <xf numFmtId="0" fontId="7" fillId="0" borderId="30" xfId="0" applyNumberFormat="1" applyFont="1" applyFill="1" applyBorder="1" applyAlignment="1" applyProtection="1">
      <alignment horizontal="left" vertical="center"/>
    </xf>
    <xf numFmtId="0" fontId="7" fillId="0" borderId="31" xfId="0" applyNumberFormat="1" applyFont="1" applyFill="1" applyBorder="1" applyAlignment="1" applyProtection="1">
      <alignment horizontal="left" vertical="center"/>
    </xf>
    <xf numFmtId="0" fontId="7" fillId="0" borderId="34" xfId="0" applyNumberFormat="1" applyFont="1" applyFill="1" applyBorder="1" applyAlignment="1" applyProtection="1">
      <alignment horizontal="left" vertical="center"/>
    </xf>
    <xf numFmtId="0" fontId="2" fillId="0" borderId="18" xfId="0" applyNumberFormat="1" applyFont="1" applyFill="1" applyBorder="1" applyAlignment="1" applyProtection="1">
      <alignment horizontal="left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0" fontId="6" fillId="0" borderId="21" xfId="0" applyNumberFormat="1" applyFont="1" applyFill="1" applyBorder="1" applyAlignment="1" applyProtection="1">
      <alignment horizontal="left" vertical="center"/>
    </xf>
    <xf numFmtId="0" fontId="6" fillId="0" borderId="22" xfId="0" applyNumberFormat="1" applyFont="1" applyFill="1" applyBorder="1" applyAlignment="1" applyProtection="1">
      <alignment horizontal="left" vertical="center"/>
    </xf>
    <xf numFmtId="0" fontId="2" fillId="0" borderId="17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/>
    </xf>
    <xf numFmtId="1" fontId="2" fillId="0" borderId="6" xfId="0" applyNumberFormat="1" applyFont="1" applyFill="1" applyBorder="1" applyAlignment="1" applyProtection="1">
      <alignment horizontal="left" vertical="center"/>
    </xf>
    <xf numFmtId="0" fontId="3" fillId="0" borderId="57" xfId="0" applyNumberFormat="1" applyFont="1" applyFill="1" applyBorder="1" applyAlignment="1" applyProtection="1">
      <alignment horizontal="left" vertical="center"/>
    </xf>
    <xf numFmtId="0" fontId="3" fillId="0" borderId="58" xfId="0" applyNumberFormat="1" applyFont="1" applyFill="1" applyBorder="1" applyAlignment="1" applyProtection="1">
      <alignment horizontal="left" vertical="center"/>
    </xf>
    <xf numFmtId="0" fontId="3" fillId="0" borderId="59" xfId="0" applyNumberFormat="1" applyFont="1" applyFill="1" applyBorder="1" applyAlignment="1" applyProtection="1">
      <alignment horizontal="left" vertical="center"/>
    </xf>
    <xf numFmtId="0" fontId="7" fillId="0" borderId="57" xfId="0" applyNumberFormat="1" applyFont="1" applyFill="1" applyBorder="1" applyAlignment="1" applyProtection="1">
      <alignment horizontal="left" vertical="center"/>
    </xf>
    <xf numFmtId="0" fontId="7" fillId="0" borderId="58" xfId="0" applyNumberFormat="1" applyFont="1" applyFill="1" applyBorder="1" applyAlignment="1" applyProtection="1">
      <alignment horizontal="left" vertical="center"/>
    </xf>
    <xf numFmtId="0" fontId="7" fillId="0" borderId="59" xfId="0" applyNumberFormat="1" applyFont="1" applyFill="1" applyBorder="1" applyAlignment="1" applyProtection="1">
      <alignment horizontal="left" vertical="center"/>
    </xf>
    <xf numFmtId="4" fontId="7" fillId="0" borderId="61" xfId="0" applyNumberFormat="1" applyFont="1" applyFill="1" applyBorder="1" applyAlignment="1" applyProtection="1">
      <alignment horizontal="right" vertical="center"/>
    </xf>
    <xf numFmtId="0" fontId="7" fillId="0" borderId="58" xfId="0" applyNumberFormat="1" applyFont="1" applyFill="1" applyBorder="1" applyAlignment="1" applyProtection="1">
      <alignment horizontal="right" vertical="center"/>
    </xf>
    <xf numFmtId="0" fontId="7" fillId="0" borderId="59" xfId="0" applyNumberFormat="1" applyFont="1" applyFill="1" applyBorder="1" applyAlignment="1" applyProtection="1">
      <alignment horizontal="right" vertical="center"/>
    </xf>
    <xf numFmtId="0" fontId="7" fillId="0" borderId="8" xfId="0" applyNumberFormat="1" applyFont="1" applyFill="1" applyBorder="1" applyAlignment="1" applyProtection="1">
      <alignment horizontal="left" vertical="center"/>
    </xf>
    <xf numFmtId="0" fontId="3" fillId="0" borderId="49" xfId="0" applyNumberFormat="1" applyFont="1" applyFill="1" applyBorder="1" applyAlignment="1" applyProtection="1">
      <alignment horizontal="left" vertical="center"/>
    </xf>
    <xf numFmtId="0" fontId="3" fillId="0" borderId="50" xfId="0" applyNumberFormat="1" applyFont="1" applyFill="1" applyBorder="1" applyAlignment="1" applyProtection="1">
      <alignment horizontal="left" vertical="center"/>
    </xf>
    <xf numFmtId="0" fontId="3" fillId="0" borderId="51" xfId="0" applyNumberFormat="1" applyFont="1" applyFill="1" applyBorder="1" applyAlignment="1" applyProtection="1">
      <alignment horizontal="left" vertical="center"/>
    </xf>
    <xf numFmtId="0" fontId="2" fillId="0" borderId="53" xfId="0" applyNumberFormat="1" applyFont="1" applyFill="1" applyBorder="1" applyAlignment="1" applyProtection="1">
      <alignment horizontal="left" vertical="center"/>
    </xf>
    <xf numFmtId="0" fontId="2" fillId="0" borderId="54" xfId="0" applyNumberFormat="1" applyFont="1" applyFill="1" applyBorder="1" applyAlignment="1" applyProtection="1">
      <alignment horizontal="left" vertical="center"/>
    </xf>
    <xf numFmtId="0" fontId="2" fillId="0" borderId="55" xfId="0" applyNumberFormat="1" applyFont="1" applyFill="1" applyBorder="1" applyAlignment="1" applyProtection="1">
      <alignment horizontal="left" vertical="center"/>
    </xf>
    <xf numFmtId="0" fontId="2" fillId="0" borderId="29" xfId="0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Fill="1" applyBorder="1" applyAlignment="1" applyProtection="1">
      <alignment horizontal="left" vertical="center"/>
    </xf>
    <xf numFmtId="0" fontId="2" fillId="0" borderId="27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6" xfId="0" applyNumberFormat="1" applyFont="1" applyFill="1" applyBorder="1" applyAlignment="1" applyProtection="1">
      <alignment horizontal="left" vertical="center"/>
    </xf>
    <xf numFmtId="0" fontId="3" fillId="0" borderId="71" xfId="0" applyNumberFormat="1" applyFont="1" applyFill="1" applyBorder="1" applyAlignment="1" applyProtection="1">
      <alignment horizontal="left" vertical="center"/>
    </xf>
    <xf numFmtId="0" fontId="3" fillId="0" borderId="72" xfId="0" applyNumberFormat="1" applyFont="1" applyFill="1" applyBorder="1" applyAlignment="1" applyProtection="1">
      <alignment horizontal="left" vertical="center"/>
    </xf>
    <xf numFmtId="0" fontId="3" fillId="2" borderId="16" xfId="0" applyNumberFormat="1" applyFont="1" applyFill="1" applyBorder="1" applyAlignment="1" applyProtection="1">
      <alignment horizontal="left" vertical="center" wrapText="1"/>
    </xf>
    <xf numFmtId="0" fontId="3" fillId="2" borderId="16" xfId="0" applyNumberFormat="1" applyFont="1" applyFill="1" applyBorder="1" applyAlignment="1" applyProtection="1">
      <alignment horizontal="left" vertical="center"/>
    </xf>
    <xf numFmtId="0" fontId="3" fillId="0" borderId="64" xfId="0" applyNumberFormat="1" applyFont="1" applyFill="1" applyBorder="1" applyAlignment="1" applyProtection="1">
      <alignment horizontal="left" vertical="center"/>
    </xf>
    <xf numFmtId="0" fontId="3" fillId="0" borderId="65" xfId="0" applyNumberFormat="1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workbookViewId="0">
      <pane ySplit="11" topLeftCell="A12" activePane="bottomLeft" state="frozen"/>
      <selection pane="bottomLeft" activeCell="C29" sqref="C29:F29"/>
    </sheetView>
  </sheetViews>
  <sheetFormatPr defaultColWidth="12.140625" defaultRowHeight="15" customHeight="1" x14ac:dyDescent="0.25"/>
  <cols>
    <col min="1" max="2" width="8.5703125" customWidth="1"/>
    <col min="3" max="3" width="71.42578125" customWidth="1"/>
    <col min="4" max="6" width="12.140625" customWidth="1"/>
    <col min="7" max="7" width="27.85546875" customWidth="1"/>
    <col min="8" max="9" width="0" hidden="1" customWidth="1"/>
  </cols>
  <sheetData>
    <row r="1" spans="1:9" ht="54.75" customHeight="1" x14ac:dyDescent="0.25">
      <c r="A1" s="78" t="s">
        <v>0</v>
      </c>
      <c r="B1" s="78"/>
      <c r="C1" s="78"/>
      <c r="D1" s="78"/>
      <c r="E1" s="78"/>
      <c r="F1" s="78"/>
      <c r="G1" s="78"/>
    </row>
    <row r="2" spans="1:9" x14ac:dyDescent="0.25">
      <c r="A2" s="79" t="s">
        <v>1</v>
      </c>
      <c r="B2" s="76"/>
      <c r="C2" s="84" t="str">
        <f>'Stavební rozpočet'!D2</f>
        <v>24107 Bruntál, Šrámkova, oprava dětského hřiště</v>
      </c>
      <c r="D2" s="76" t="s">
        <v>2</v>
      </c>
      <c r="E2" s="76" t="s">
        <v>3</v>
      </c>
      <c r="F2" s="83" t="s">
        <v>4</v>
      </c>
      <c r="G2" s="70" t="str">
        <f>'Stavební rozpočet'!J2</f>
        <v> </v>
      </c>
    </row>
    <row r="3" spans="1:9" ht="15" customHeight="1" x14ac:dyDescent="0.25">
      <c r="A3" s="80"/>
      <c r="B3" s="69"/>
      <c r="C3" s="85"/>
      <c r="D3" s="69"/>
      <c r="E3" s="69"/>
      <c r="F3" s="69"/>
      <c r="G3" s="71"/>
    </row>
    <row r="4" spans="1:9" x14ac:dyDescent="0.25">
      <c r="A4" s="81" t="s">
        <v>5</v>
      </c>
      <c r="B4" s="69"/>
      <c r="C4" s="74" t="str">
        <f>'Stavební rozpočet'!D4</f>
        <v xml:space="preserve"> </v>
      </c>
      <c r="D4" s="69" t="s">
        <v>6</v>
      </c>
      <c r="E4" s="69" t="s">
        <v>7</v>
      </c>
      <c r="F4" s="74" t="s">
        <v>8</v>
      </c>
      <c r="G4" s="72" t="str">
        <f>'Stavební rozpočet'!J4</f>
        <v> </v>
      </c>
    </row>
    <row r="5" spans="1:9" ht="15" customHeight="1" x14ac:dyDescent="0.25">
      <c r="A5" s="80"/>
      <c r="B5" s="69"/>
      <c r="C5" s="69"/>
      <c r="D5" s="69"/>
      <c r="E5" s="69"/>
      <c r="F5" s="69"/>
      <c r="G5" s="71"/>
    </row>
    <row r="6" spans="1:9" x14ac:dyDescent="0.25">
      <c r="A6" s="81" t="s">
        <v>9</v>
      </c>
      <c r="B6" s="69"/>
      <c r="C6" s="74" t="str">
        <f>'Stavební rozpočet'!D6</f>
        <v xml:space="preserve"> </v>
      </c>
      <c r="D6" s="69" t="s">
        <v>10</v>
      </c>
      <c r="E6" s="69" t="s">
        <v>3</v>
      </c>
      <c r="F6" s="74" t="s">
        <v>11</v>
      </c>
      <c r="G6" s="72" t="str">
        <f>'Stavební rozpočet'!J6</f>
        <v> </v>
      </c>
    </row>
    <row r="7" spans="1:9" ht="15" customHeight="1" x14ac:dyDescent="0.25">
      <c r="A7" s="80"/>
      <c r="B7" s="69"/>
      <c r="C7" s="69"/>
      <c r="D7" s="69"/>
      <c r="E7" s="69"/>
      <c r="F7" s="69"/>
      <c r="G7" s="71"/>
    </row>
    <row r="8" spans="1:9" x14ac:dyDescent="0.25">
      <c r="A8" s="81" t="s">
        <v>12</v>
      </c>
      <c r="B8" s="69"/>
      <c r="C8" s="74" t="str">
        <f>'Stavební rozpočet'!J8</f>
        <v> </v>
      </c>
      <c r="D8" s="69" t="s">
        <v>13</v>
      </c>
      <c r="E8" s="69" t="s">
        <v>7</v>
      </c>
      <c r="F8" s="69" t="s">
        <v>13</v>
      </c>
      <c r="G8" s="72" t="str">
        <f>'Stavební rozpočet'!H8</f>
        <v>08.07.2024</v>
      </c>
    </row>
    <row r="9" spans="1:9" x14ac:dyDescent="0.25">
      <c r="A9" s="82"/>
      <c r="B9" s="75"/>
      <c r="C9" s="75"/>
      <c r="D9" s="77"/>
      <c r="E9" s="77"/>
      <c r="F9" s="77"/>
      <c r="G9" s="73"/>
    </row>
    <row r="10" spans="1:9" x14ac:dyDescent="0.25">
      <c r="A10" s="6" t="s">
        <v>14</v>
      </c>
      <c r="B10" s="7" t="s">
        <v>15</v>
      </c>
      <c r="C10" s="8" t="s">
        <v>16</v>
      </c>
      <c r="G10" s="9" t="s">
        <v>17</v>
      </c>
    </row>
    <row r="11" spans="1:9" x14ac:dyDescent="0.25">
      <c r="A11" s="10" t="s">
        <v>18</v>
      </c>
      <c r="B11" s="11" t="s">
        <v>19</v>
      </c>
      <c r="C11" s="69" t="s">
        <v>20</v>
      </c>
      <c r="D11" s="69"/>
      <c r="E11" s="69"/>
      <c r="F11" s="69"/>
      <c r="G11" s="12">
        <f>'Stavební rozpočet'!I12</f>
        <v>0</v>
      </c>
      <c r="H11" s="13" t="s">
        <v>21</v>
      </c>
      <c r="I11" s="14">
        <f t="shared" ref="I11:I29" si="0">IF(H11="F",0,G11)</f>
        <v>0</v>
      </c>
    </row>
    <row r="12" spans="1:9" x14ac:dyDescent="0.25">
      <c r="A12" s="1" t="s">
        <v>18</v>
      </c>
      <c r="B12" s="2" t="s">
        <v>22</v>
      </c>
      <c r="C12" s="69" t="s">
        <v>23</v>
      </c>
      <c r="D12" s="69"/>
      <c r="E12" s="69"/>
      <c r="F12" s="69"/>
      <c r="G12" s="14">
        <f>'Stavební rozpočet'!I17</f>
        <v>0</v>
      </c>
      <c r="H12" s="13" t="s">
        <v>21</v>
      </c>
      <c r="I12" s="14">
        <f t="shared" si="0"/>
        <v>0</v>
      </c>
    </row>
    <row r="13" spans="1:9" x14ac:dyDescent="0.25">
      <c r="A13" s="1" t="s">
        <v>18</v>
      </c>
      <c r="B13" s="2" t="s">
        <v>24</v>
      </c>
      <c r="C13" s="69" t="s">
        <v>25</v>
      </c>
      <c r="D13" s="69"/>
      <c r="E13" s="69"/>
      <c r="F13" s="69"/>
      <c r="G13" s="14">
        <f>'Stavební rozpočet'!I36</f>
        <v>0</v>
      </c>
      <c r="H13" s="13" t="s">
        <v>21</v>
      </c>
      <c r="I13" s="14">
        <f t="shared" si="0"/>
        <v>0</v>
      </c>
    </row>
    <row r="14" spans="1:9" x14ac:dyDescent="0.25">
      <c r="A14" s="1" t="s">
        <v>18</v>
      </c>
      <c r="B14" s="2" t="s">
        <v>26</v>
      </c>
      <c r="C14" s="69" t="s">
        <v>27</v>
      </c>
      <c r="D14" s="69"/>
      <c r="E14" s="69"/>
      <c r="F14" s="69"/>
      <c r="G14" s="14">
        <f>'Stavební rozpočet'!I49</f>
        <v>0</v>
      </c>
      <c r="H14" s="13" t="s">
        <v>21</v>
      </c>
      <c r="I14" s="14">
        <f t="shared" si="0"/>
        <v>0</v>
      </c>
    </row>
    <row r="15" spans="1:9" x14ac:dyDescent="0.25">
      <c r="A15" s="1" t="s">
        <v>18</v>
      </c>
      <c r="B15" s="2" t="s">
        <v>28</v>
      </c>
      <c r="C15" s="69" t="s">
        <v>29</v>
      </c>
      <c r="D15" s="69"/>
      <c r="E15" s="69"/>
      <c r="F15" s="69"/>
      <c r="G15" s="14">
        <f>'Stavební rozpočet'!I53</f>
        <v>0</v>
      </c>
      <c r="H15" s="13" t="s">
        <v>21</v>
      </c>
      <c r="I15" s="14">
        <f t="shared" si="0"/>
        <v>0</v>
      </c>
    </row>
    <row r="16" spans="1:9" x14ac:dyDescent="0.25">
      <c r="A16" s="1" t="s">
        <v>18</v>
      </c>
      <c r="B16" s="2" t="s">
        <v>30</v>
      </c>
      <c r="C16" s="69" t="s">
        <v>31</v>
      </c>
      <c r="D16" s="69"/>
      <c r="E16" s="69"/>
      <c r="F16" s="69"/>
      <c r="G16" s="14">
        <f>'Stavební rozpočet'!I56</f>
        <v>0</v>
      </c>
      <c r="H16" s="13" t="s">
        <v>21</v>
      </c>
      <c r="I16" s="14">
        <f t="shared" si="0"/>
        <v>0</v>
      </c>
    </row>
    <row r="17" spans="1:9" x14ac:dyDescent="0.25">
      <c r="A17" s="1" t="s">
        <v>18</v>
      </c>
      <c r="B17" s="2" t="s">
        <v>32</v>
      </c>
      <c r="C17" s="69" t="s">
        <v>33</v>
      </c>
      <c r="D17" s="69"/>
      <c r="E17" s="69"/>
      <c r="F17" s="69"/>
      <c r="G17" s="14">
        <f>'Stavební rozpočet'!I58</f>
        <v>0</v>
      </c>
      <c r="H17" s="13" t="s">
        <v>21</v>
      </c>
      <c r="I17" s="14">
        <f t="shared" si="0"/>
        <v>0</v>
      </c>
    </row>
    <row r="18" spans="1:9" x14ac:dyDescent="0.25">
      <c r="A18" s="1" t="s">
        <v>18</v>
      </c>
      <c r="B18" s="2" t="s">
        <v>34</v>
      </c>
      <c r="C18" s="69" t="s">
        <v>35</v>
      </c>
      <c r="D18" s="69"/>
      <c r="E18" s="69"/>
      <c r="F18" s="69"/>
      <c r="G18" s="14">
        <f>'Stavební rozpočet'!I67</f>
        <v>0</v>
      </c>
      <c r="H18" s="13" t="s">
        <v>21</v>
      </c>
      <c r="I18" s="14">
        <f t="shared" si="0"/>
        <v>0</v>
      </c>
    </row>
    <row r="19" spans="1:9" x14ac:dyDescent="0.25">
      <c r="A19" s="1" t="s">
        <v>18</v>
      </c>
      <c r="B19" s="2" t="s">
        <v>36</v>
      </c>
      <c r="C19" s="69" t="s">
        <v>37</v>
      </c>
      <c r="D19" s="69"/>
      <c r="E19" s="69"/>
      <c r="F19" s="69"/>
      <c r="G19" s="14">
        <f>'Stavební rozpočet'!I74</f>
        <v>0</v>
      </c>
      <c r="H19" s="13" t="s">
        <v>21</v>
      </c>
      <c r="I19" s="14">
        <f t="shared" si="0"/>
        <v>0</v>
      </c>
    </row>
    <row r="20" spans="1:9" x14ac:dyDescent="0.25">
      <c r="A20" s="1" t="s">
        <v>18</v>
      </c>
      <c r="B20" s="2" t="s">
        <v>38</v>
      </c>
      <c r="C20" s="69" t="s">
        <v>39</v>
      </c>
      <c r="D20" s="69"/>
      <c r="E20" s="69"/>
      <c r="F20" s="69"/>
      <c r="G20" s="14">
        <f>'Stavební rozpočet'!I77</f>
        <v>0</v>
      </c>
      <c r="H20" s="13" t="s">
        <v>21</v>
      </c>
      <c r="I20" s="14">
        <f t="shared" si="0"/>
        <v>0</v>
      </c>
    </row>
    <row r="21" spans="1:9" x14ac:dyDescent="0.25">
      <c r="A21" s="1" t="s">
        <v>18</v>
      </c>
      <c r="B21" s="2" t="s">
        <v>40</v>
      </c>
      <c r="C21" s="69" t="s">
        <v>41</v>
      </c>
      <c r="D21" s="69"/>
      <c r="E21" s="69"/>
      <c r="F21" s="69"/>
      <c r="G21" s="14">
        <f>'Stavební rozpočet'!I81</f>
        <v>0</v>
      </c>
      <c r="H21" s="13" t="s">
        <v>21</v>
      </c>
      <c r="I21" s="14">
        <f t="shared" si="0"/>
        <v>0</v>
      </c>
    </row>
    <row r="22" spans="1:9" x14ac:dyDescent="0.25">
      <c r="A22" s="1" t="s">
        <v>18</v>
      </c>
      <c r="B22" s="2" t="s">
        <v>42</v>
      </c>
      <c r="C22" s="69" t="s">
        <v>43</v>
      </c>
      <c r="D22" s="69"/>
      <c r="E22" s="69"/>
      <c r="F22" s="69"/>
      <c r="G22" s="14">
        <f>'Stavební rozpočet'!I87</f>
        <v>0</v>
      </c>
      <c r="H22" s="13" t="s">
        <v>21</v>
      </c>
      <c r="I22" s="14">
        <f t="shared" si="0"/>
        <v>0</v>
      </c>
    </row>
    <row r="23" spans="1:9" x14ac:dyDescent="0.25">
      <c r="A23" s="1" t="s">
        <v>18</v>
      </c>
      <c r="B23" s="2" t="s">
        <v>44</v>
      </c>
      <c r="C23" s="69" t="s">
        <v>45</v>
      </c>
      <c r="D23" s="69"/>
      <c r="E23" s="69"/>
      <c r="F23" s="69"/>
      <c r="G23" s="14">
        <f>'Stavební rozpočet'!I94</f>
        <v>0</v>
      </c>
      <c r="H23" s="13" t="s">
        <v>21</v>
      </c>
      <c r="I23" s="14">
        <f t="shared" si="0"/>
        <v>0</v>
      </c>
    </row>
    <row r="24" spans="1:9" x14ac:dyDescent="0.25">
      <c r="A24" s="1" t="s">
        <v>18</v>
      </c>
      <c r="B24" s="2" t="s">
        <v>46</v>
      </c>
      <c r="C24" s="69" t="s">
        <v>47</v>
      </c>
      <c r="D24" s="69"/>
      <c r="E24" s="69"/>
      <c r="F24" s="69"/>
      <c r="G24" s="14">
        <f>'Stavební rozpočet'!I101</f>
        <v>0</v>
      </c>
      <c r="H24" s="13" t="s">
        <v>21</v>
      </c>
      <c r="I24" s="14">
        <f t="shared" si="0"/>
        <v>0</v>
      </c>
    </row>
    <row r="25" spans="1:9" x14ac:dyDescent="0.25">
      <c r="A25" s="1" t="s">
        <v>18</v>
      </c>
      <c r="B25" s="2" t="s">
        <v>48</v>
      </c>
      <c r="C25" s="69" t="s">
        <v>49</v>
      </c>
      <c r="D25" s="69"/>
      <c r="E25" s="69"/>
      <c r="F25" s="69"/>
      <c r="G25" s="14">
        <f>'Stavební rozpočet'!I103</f>
        <v>0</v>
      </c>
      <c r="H25" s="13" t="s">
        <v>21</v>
      </c>
      <c r="I25" s="14">
        <f t="shared" si="0"/>
        <v>0</v>
      </c>
    </row>
    <row r="26" spans="1:9" x14ac:dyDescent="0.25">
      <c r="A26" s="1" t="s">
        <v>18</v>
      </c>
      <c r="B26" s="2" t="s">
        <v>50</v>
      </c>
      <c r="C26" s="69" t="s">
        <v>51</v>
      </c>
      <c r="D26" s="69"/>
      <c r="E26" s="69"/>
      <c r="F26" s="69"/>
      <c r="G26" s="14">
        <f>'Stavební rozpočet'!I106</f>
        <v>0</v>
      </c>
      <c r="H26" s="13" t="s">
        <v>21</v>
      </c>
      <c r="I26" s="14">
        <f t="shared" si="0"/>
        <v>0</v>
      </c>
    </row>
    <row r="27" spans="1:9" x14ac:dyDescent="0.25">
      <c r="A27" s="1" t="s">
        <v>18</v>
      </c>
      <c r="B27" s="2" t="s">
        <v>52</v>
      </c>
      <c r="C27" s="69" t="s">
        <v>53</v>
      </c>
      <c r="D27" s="69"/>
      <c r="E27" s="69"/>
      <c r="F27" s="69"/>
      <c r="G27" s="14">
        <f>'Stavební rozpočet'!I113</f>
        <v>0</v>
      </c>
      <c r="H27" s="13" t="s">
        <v>21</v>
      </c>
      <c r="I27" s="14">
        <f t="shared" si="0"/>
        <v>0</v>
      </c>
    </row>
    <row r="28" spans="1:9" x14ac:dyDescent="0.25">
      <c r="A28" s="1" t="s">
        <v>18</v>
      </c>
      <c r="B28" s="2" t="s">
        <v>54</v>
      </c>
      <c r="C28" s="69" t="s">
        <v>55</v>
      </c>
      <c r="D28" s="69"/>
      <c r="E28" s="69"/>
      <c r="F28" s="69"/>
      <c r="G28" s="14">
        <f>'Stavební rozpočet'!I117</f>
        <v>0</v>
      </c>
      <c r="H28" s="13" t="s">
        <v>21</v>
      </c>
      <c r="I28" s="14">
        <f t="shared" si="0"/>
        <v>0</v>
      </c>
    </row>
    <row r="29" spans="1:9" x14ac:dyDescent="0.25">
      <c r="A29" s="1" t="s">
        <v>18</v>
      </c>
      <c r="B29" s="2" t="s">
        <v>56</v>
      </c>
      <c r="C29" s="69" t="s">
        <v>57</v>
      </c>
      <c r="D29" s="69"/>
      <c r="E29" s="69"/>
      <c r="F29" s="69"/>
      <c r="G29" s="14">
        <f>'Stavební rozpočet'!I127</f>
        <v>0</v>
      </c>
      <c r="H29" s="13" t="s">
        <v>21</v>
      </c>
      <c r="I29" s="14">
        <f t="shared" si="0"/>
        <v>0</v>
      </c>
    </row>
    <row r="30" spans="1:9" x14ac:dyDescent="0.25">
      <c r="F30" s="3" t="s">
        <v>58</v>
      </c>
      <c r="G30" s="15">
        <f>SUM(I11:I29)</f>
        <v>0</v>
      </c>
    </row>
  </sheetData>
  <mergeCells count="44"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  <mergeCell ref="G2:G3"/>
    <mergeCell ref="G4:G5"/>
    <mergeCell ref="G6:G7"/>
    <mergeCell ref="G8:G9"/>
    <mergeCell ref="C11:F11"/>
    <mergeCell ref="C8:C9"/>
    <mergeCell ref="E2:E3"/>
    <mergeCell ref="E4:E5"/>
    <mergeCell ref="E6:E7"/>
    <mergeCell ref="E8:E9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7:F27"/>
    <mergeCell ref="C28:F28"/>
    <mergeCell ref="C29:F29"/>
    <mergeCell ref="C22:F22"/>
    <mergeCell ref="C23:F23"/>
    <mergeCell ref="C24:F24"/>
    <mergeCell ref="C25:F25"/>
    <mergeCell ref="C26:F26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22" t="s">
        <v>59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79" t="s">
        <v>1</v>
      </c>
      <c r="B2" s="76"/>
      <c r="C2" s="84" t="str">
        <f>'Stavební rozpočet'!D2</f>
        <v>24107 Bruntál, Šrámkova, oprava dětského hřiště</v>
      </c>
      <c r="D2" s="121"/>
      <c r="E2" s="83" t="s">
        <v>4</v>
      </c>
      <c r="F2" s="83" t="str">
        <f>'Stavební rozpočet'!J2</f>
        <v> </v>
      </c>
      <c r="G2" s="76"/>
      <c r="H2" s="83" t="s">
        <v>60</v>
      </c>
      <c r="I2" s="123" t="s">
        <v>18</v>
      </c>
    </row>
    <row r="3" spans="1:9" ht="15" customHeight="1" x14ac:dyDescent="0.25">
      <c r="A3" s="80"/>
      <c r="B3" s="69"/>
      <c r="C3" s="85"/>
      <c r="D3" s="85"/>
      <c r="E3" s="69"/>
      <c r="F3" s="69"/>
      <c r="G3" s="69"/>
      <c r="H3" s="69"/>
      <c r="I3" s="71"/>
    </row>
    <row r="4" spans="1:9" x14ac:dyDescent="0.25">
      <c r="A4" s="81" t="s">
        <v>5</v>
      </c>
      <c r="B4" s="69"/>
      <c r="C4" s="74" t="str">
        <f>'Stavební rozpočet'!D4</f>
        <v xml:space="preserve"> </v>
      </c>
      <c r="D4" s="69"/>
      <c r="E4" s="74" t="s">
        <v>8</v>
      </c>
      <c r="F4" s="74" t="str">
        <f>'Stavební rozpočet'!J4</f>
        <v> </v>
      </c>
      <c r="G4" s="69"/>
      <c r="H4" s="74" t="s">
        <v>60</v>
      </c>
      <c r="I4" s="71" t="s">
        <v>18</v>
      </c>
    </row>
    <row r="5" spans="1:9" ht="15" customHeight="1" x14ac:dyDescent="0.25">
      <c r="A5" s="80"/>
      <c r="B5" s="69"/>
      <c r="C5" s="69"/>
      <c r="D5" s="69"/>
      <c r="E5" s="69"/>
      <c r="F5" s="69"/>
      <c r="G5" s="69"/>
      <c r="H5" s="69"/>
      <c r="I5" s="71"/>
    </row>
    <row r="6" spans="1:9" x14ac:dyDescent="0.25">
      <c r="A6" s="81" t="s">
        <v>9</v>
      </c>
      <c r="B6" s="69"/>
      <c r="C6" s="74" t="str">
        <f>'Stavební rozpočet'!D6</f>
        <v xml:space="preserve"> </v>
      </c>
      <c r="D6" s="69"/>
      <c r="E6" s="74" t="s">
        <v>11</v>
      </c>
      <c r="F6" s="74" t="str">
        <f>'Stavební rozpočet'!J6</f>
        <v> </v>
      </c>
      <c r="G6" s="69"/>
      <c r="H6" s="74" t="s">
        <v>60</v>
      </c>
      <c r="I6" s="71" t="s">
        <v>18</v>
      </c>
    </row>
    <row r="7" spans="1:9" ht="15" customHeight="1" x14ac:dyDescent="0.25">
      <c r="A7" s="80"/>
      <c r="B7" s="69"/>
      <c r="C7" s="69"/>
      <c r="D7" s="69"/>
      <c r="E7" s="69"/>
      <c r="F7" s="69"/>
      <c r="G7" s="69"/>
      <c r="H7" s="69"/>
      <c r="I7" s="71"/>
    </row>
    <row r="8" spans="1:9" x14ac:dyDescent="0.25">
      <c r="A8" s="81" t="s">
        <v>6</v>
      </c>
      <c r="B8" s="69"/>
      <c r="C8" s="74" t="str">
        <f>'Stavební rozpočet'!H4</f>
        <v>08.07.2024</v>
      </c>
      <c r="D8" s="69"/>
      <c r="E8" s="74" t="s">
        <v>10</v>
      </c>
      <c r="F8" s="74" t="str">
        <f>'Stavební rozpočet'!H6</f>
        <v xml:space="preserve"> </v>
      </c>
      <c r="G8" s="69"/>
      <c r="H8" s="69" t="s">
        <v>61</v>
      </c>
      <c r="I8" s="124">
        <v>42</v>
      </c>
    </row>
    <row r="9" spans="1:9" x14ac:dyDescent="0.25">
      <c r="A9" s="80"/>
      <c r="B9" s="69"/>
      <c r="C9" s="69"/>
      <c r="D9" s="69"/>
      <c r="E9" s="69"/>
      <c r="F9" s="69"/>
      <c r="G9" s="69"/>
      <c r="H9" s="69"/>
      <c r="I9" s="71"/>
    </row>
    <row r="10" spans="1:9" x14ac:dyDescent="0.25">
      <c r="A10" s="81" t="s">
        <v>62</v>
      </c>
      <c r="B10" s="69"/>
      <c r="C10" s="74" t="str">
        <f>'Stavební rozpočet'!D8</f>
        <v xml:space="preserve"> </v>
      </c>
      <c r="D10" s="69"/>
      <c r="E10" s="74" t="s">
        <v>12</v>
      </c>
      <c r="F10" s="74" t="str">
        <f>'Stavební rozpočet'!J8</f>
        <v> </v>
      </c>
      <c r="G10" s="69"/>
      <c r="H10" s="69" t="s">
        <v>63</v>
      </c>
      <c r="I10" s="72" t="str">
        <f>'Stavební rozpočet'!H8</f>
        <v>08.07.2024</v>
      </c>
    </row>
    <row r="11" spans="1:9" x14ac:dyDescent="0.25">
      <c r="A11" s="120"/>
      <c r="B11" s="77"/>
      <c r="C11" s="77"/>
      <c r="D11" s="77"/>
      <c r="E11" s="77"/>
      <c r="F11" s="77"/>
      <c r="G11" s="77"/>
      <c r="H11" s="77"/>
      <c r="I11" s="116"/>
    </row>
    <row r="12" spans="1:9" ht="23.25" x14ac:dyDescent="0.25">
      <c r="A12" s="117" t="s">
        <v>64</v>
      </c>
      <c r="B12" s="117"/>
      <c r="C12" s="117"/>
      <c r="D12" s="117"/>
      <c r="E12" s="117"/>
      <c r="F12" s="117"/>
      <c r="G12" s="117"/>
      <c r="H12" s="117"/>
      <c r="I12" s="117"/>
    </row>
    <row r="13" spans="1:9" ht="26.25" customHeight="1" x14ac:dyDescent="0.25">
      <c r="A13" s="17" t="s">
        <v>65</v>
      </c>
      <c r="B13" s="118" t="s">
        <v>66</v>
      </c>
      <c r="C13" s="119"/>
      <c r="D13" s="18" t="s">
        <v>67</v>
      </c>
      <c r="E13" s="118" t="s">
        <v>68</v>
      </c>
      <c r="F13" s="119"/>
      <c r="G13" s="18" t="s">
        <v>69</v>
      </c>
      <c r="H13" s="118" t="s">
        <v>70</v>
      </c>
      <c r="I13" s="119"/>
    </row>
    <row r="14" spans="1:9" ht="15.75" x14ac:dyDescent="0.25">
      <c r="A14" s="19" t="s">
        <v>71</v>
      </c>
      <c r="B14" s="20" t="s">
        <v>72</v>
      </c>
      <c r="C14" s="21">
        <f>SUM('Stavební rozpočet'!AB12:AB131)</f>
        <v>0</v>
      </c>
      <c r="D14" s="106" t="s">
        <v>73</v>
      </c>
      <c r="E14" s="107"/>
      <c r="F14" s="21">
        <f>VORN!I15</f>
        <v>0</v>
      </c>
      <c r="G14" s="106" t="s">
        <v>74</v>
      </c>
      <c r="H14" s="107"/>
      <c r="I14" s="22">
        <f>VORN!I21</f>
        <v>0</v>
      </c>
    </row>
    <row r="15" spans="1:9" ht="15.75" x14ac:dyDescent="0.25">
      <c r="A15" s="23" t="s">
        <v>18</v>
      </c>
      <c r="B15" s="20" t="s">
        <v>75</v>
      </c>
      <c r="C15" s="21">
        <f>SUM('Stavební rozpočet'!AC12:AC131)</f>
        <v>0</v>
      </c>
      <c r="D15" s="106" t="s">
        <v>76</v>
      </c>
      <c r="E15" s="107"/>
      <c r="F15" s="21">
        <f>VORN!I16</f>
        <v>0</v>
      </c>
      <c r="G15" s="106" t="s">
        <v>77</v>
      </c>
      <c r="H15" s="107"/>
      <c r="I15" s="22">
        <f>VORN!I22</f>
        <v>0</v>
      </c>
    </row>
    <row r="16" spans="1:9" ht="15.75" x14ac:dyDescent="0.25">
      <c r="A16" s="19" t="s">
        <v>78</v>
      </c>
      <c r="B16" s="20" t="s">
        <v>72</v>
      </c>
      <c r="C16" s="21">
        <f>SUM('Stavební rozpočet'!AD12:AD131)</f>
        <v>0</v>
      </c>
      <c r="D16" s="106" t="s">
        <v>79</v>
      </c>
      <c r="E16" s="107"/>
      <c r="F16" s="21">
        <f>VORN!I17</f>
        <v>0</v>
      </c>
      <c r="G16" s="106" t="s">
        <v>80</v>
      </c>
      <c r="H16" s="107"/>
      <c r="I16" s="22">
        <f>VORN!I23</f>
        <v>0</v>
      </c>
    </row>
    <row r="17" spans="1:9" ht="15.75" x14ac:dyDescent="0.25">
      <c r="A17" s="23" t="s">
        <v>18</v>
      </c>
      <c r="B17" s="20" t="s">
        <v>75</v>
      </c>
      <c r="C17" s="21">
        <f>SUM('Stavební rozpočet'!AE12:AE131)</f>
        <v>0</v>
      </c>
      <c r="D17" s="106" t="s">
        <v>18</v>
      </c>
      <c r="E17" s="107"/>
      <c r="F17" s="22" t="s">
        <v>18</v>
      </c>
      <c r="G17" s="106" t="s">
        <v>81</v>
      </c>
      <c r="H17" s="107"/>
      <c r="I17" s="22">
        <f>VORN!I24</f>
        <v>0</v>
      </c>
    </row>
    <row r="18" spans="1:9" ht="15.75" x14ac:dyDescent="0.25">
      <c r="A18" s="19" t="s">
        <v>82</v>
      </c>
      <c r="B18" s="20" t="s">
        <v>72</v>
      </c>
      <c r="C18" s="21">
        <f>SUM('Stavební rozpočet'!AF12:AF131)</f>
        <v>0</v>
      </c>
      <c r="D18" s="106" t="s">
        <v>18</v>
      </c>
      <c r="E18" s="107"/>
      <c r="F18" s="22" t="s">
        <v>18</v>
      </c>
      <c r="G18" s="106" t="s">
        <v>83</v>
      </c>
      <c r="H18" s="107"/>
      <c r="I18" s="22">
        <f>VORN!I25</f>
        <v>0</v>
      </c>
    </row>
    <row r="19" spans="1:9" ht="15.75" x14ac:dyDescent="0.25">
      <c r="A19" s="23" t="s">
        <v>18</v>
      </c>
      <c r="B19" s="20" t="s">
        <v>75</v>
      </c>
      <c r="C19" s="21">
        <f>SUM('Stavební rozpočet'!AG12:AG131)</f>
        <v>0</v>
      </c>
      <c r="D19" s="106" t="s">
        <v>18</v>
      </c>
      <c r="E19" s="107"/>
      <c r="F19" s="22" t="s">
        <v>18</v>
      </c>
      <c r="G19" s="106" t="s">
        <v>84</v>
      </c>
      <c r="H19" s="107"/>
      <c r="I19" s="22">
        <f>VORN!I26</f>
        <v>0</v>
      </c>
    </row>
    <row r="20" spans="1:9" ht="15.75" x14ac:dyDescent="0.25">
      <c r="A20" s="98" t="s">
        <v>85</v>
      </c>
      <c r="B20" s="99"/>
      <c r="C20" s="21">
        <f>SUM('Stavební rozpočet'!AH12:AH131)</f>
        <v>0</v>
      </c>
      <c r="D20" s="106" t="s">
        <v>18</v>
      </c>
      <c r="E20" s="107"/>
      <c r="F20" s="22" t="s">
        <v>18</v>
      </c>
      <c r="G20" s="106" t="s">
        <v>18</v>
      </c>
      <c r="H20" s="107"/>
      <c r="I20" s="22" t="s">
        <v>18</v>
      </c>
    </row>
    <row r="21" spans="1:9" ht="15.75" x14ac:dyDescent="0.25">
      <c r="A21" s="113" t="s">
        <v>86</v>
      </c>
      <c r="B21" s="114"/>
      <c r="C21" s="24">
        <f>SUM('Stavební rozpočet'!Z12:Z131)</f>
        <v>0</v>
      </c>
      <c r="D21" s="108" t="s">
        <v>18</v>
      </c>
      <c r="E21" s="109"/>
      <c r="F21" s="25" t="s">
        <v>18</v>
      </c>
      <c r="G21" s="108" t="s">
        <v>18</v>
      </c>
      <c r="H21" s="109"/>
      <c r="I21" s="25" t="s">
        <v>18</v>
      </c>
    </row>
    <row r="22" spans="1:9" ht="16.5" customHeight="1" x14ac:dyDescent="0.25">
      <c r="A22" s="115" t="s">
        <v>87</v>
      </c>
      <c r="B22" s="111"/>
      <c r="C22" s="26">
        <f>SUM(C14:C21)</f>
        <v>0</v>
      </c>
      <c r="D22" s="110" t="s">
        <v>88</v>
      </c>
      <c r="E22" s="111"/>
      <c r="F22" s="26">
        <f>SUM(F14:F21)</f>
        <v>0</v>
      </c>
      <c r="G22" s="110" t="s">
        <v>89</v>
      </c>
      <c r="H22" s="111"/>
      <c r="I22" s="26">
        <f>SUM(I14:I21)</f>
        <v>0</v>
      </c>
    </row>
    <row r="23" spans="1:9" ht="15.75" x14ac:dyDescent="0.25">
      <c r="D23" s="98" t="s">
        <v>90</v>
      </c>
      <c r="E23" s="99"/>
      <c r="F23" s="27">
        <v>0</v>
      </c>
      <c r="G23" s="112" t="s">
        <v>91</v>
      </c>
      <c r="H23" s="99"/>
      <c r="I23" s="21">
        <v>0</v>
      </c>
    </row>
    <row r="24" spans="1:9" ht="15.75" x14ac:dyDescent="0.25">
      <c r="G24" s="98" t="s">
        <v>92</v>
      </c>
      <c r="H24" s="99"/>
      <c r="I24" s="24">
        <f>vorn_sum</f>
        <v>0</v>
      </c>
    </row>
    <row r="25" spans="1:9" ht="15.75" x14ac:dyDescent="0.25">
      <c r="G25" s="98" t="s">
        <v>93</v>
      </c>
      <c r="H25" s="99"/>
      <c r="I25" s="26">
        <v>0</v>
      </c>
    </row>
    <row r="27" spans="1:9" ht="15.75" x14ac:dyDescent="0.25">
      <c r="A27" s="100" t="s">
        <v>94</v>
      </c>
      <c r="B27" s="101"/>
      <c r="C27" s="28">
        <f>SUM('Stavební rozpočet'!AJ12:AJ131)</f>
        <v>0</v>
      </c>
    </row>
    <row r="28" spans="1:9" ht="15.75" x14ac:dyDescent="0.25">
      <c r="A28" s="102" t="s">
        <v>95</v>
      </c>
      <c r="B28" s="103"/>
      <c r="C28" s="29">
        <f>SUM('Stavební rozpočet'!AK12:AK131)</f>
        <v>0</v>
      </c>
      <c r="D28" s="104" t="s">
        <v>96</v>
      </c>
      <c r="E28" s="101"/>
      <c r="F28" s="28">
        <f>ROUND(C28*(12/100),2)</f>
        <v>0</v>
      </c>
      <c r="G28" s="104" t="s">
        <v>97</v>
      </c>
      <c r="H28" s="101"/>
      <c r="I28" s="28">
        <f>SUM(C27:C29)</f>
        <v>0</v>
      </c>
    </row>
    <row r="29" spans="1:9" ht="15.75" x14ac:dyDescent="0.25">
      <c r="A29" s="102" t="s">
        <v>98</v>
      </c>
      <c r="B29" s="103"/>
      <c r="C29" s="29">
        <f>SUM('Stavební rozpočet'!AL12:AL131)+(F22+I22+F23+I23+I24+I25)</f>
        <v>0</v>
      </c>
      <c r="D29" s="105" t="s">
        <v>99</v>
      </c>
      <c r="E29" s="103"/>
      <c r="F29" s="29">
        <f>ROUND(C29*(21/100),2)</f>
        <v>0</v>
      </c>
      <c r="G29" s="105" t="s">
        <v>100</v>
      </c>
      <c r="H29" s="103"/>
      <c r="I29" s="29">
        <f>SUM(F28:F29)+I28</f>
        <v>0</v>
      </c>
    </row>
    <row r="31" spans="1:9" x14ac:dyDescent="0.25">
      <c r="A31" s="95" t="s">
        <v>101</v>
      </c>
      <c r="B31" s="87"/>
      <c r="C31" s="88"/>
      <c r="D31" s="86" t="s">
        <v>102</v>
      </c>
      <c r="E31" s="87"/>
      <c r="F31" s="88"/>
      <c r="G31" s="86" t="s">
        <v>103</v>
      </c>
      <c r="H31" s="87"/>
      <c r="I31" s="88"/>
    </row>
    <row r="32" spans="1:9" x14ac:dyDescent="0.25">
      <c r="A32" s="96" t="s">
        <v>18</v>
      </c>
      <c r="B32" s="90"/>
      <c r="C32" s="91"/>
      <c r="D32" s="89" t="s">
        <v>18</v>
      </c>
      <c r="E32" s="90"/>
      <c r="F32" s="91"/>
      <c r="G32" s="89" t="s">
        <v>18</v>
      </c>
      <c r="H32" s="90"/>
      <c r="I32" s="91"/>
    </row>
    <row r="33" spans="1:9" x14ac:dyDescent="0.25">
      <c r="A33" s="96" t="s">
        <v>18</v>
      </c>
      <c r="B33" s="90"/>
      <c r="C33" s="91"/>
      <c r="D33" s="89" t="s">
        <v>18</v>
      </c>
      <c r="E33" s="90"/>
      <c r="F33" s="91"/>
      <c r="G33" s="89" t="s">
        <v>18</v>
      </c>
      <c r="H33" s="90"/>
      <c r="I33" s="91"/>
    </row>
    <row r="34" spans="1:9" x14ac:dyDescent="0.25">
      <c r="A34" s="96" t="s">
        <v>18</v>
      </c>
      <c r="B34" s="90"/>
      <c r="C34" s="91"/>
      <c r="D34" s="89" t="s">
        <v>18</v>
      </c>
      <c r="E34" s="90"/>
      <c r="F34" s="91"/>
      <c r="G34" s="89" t="s">
        <v>18</v>
      </c>
      <c r="H34" s="90"/>
      <c r="I34" s="91"/>
    </row>
    <row r="35" spans="1:9" x14ac:dyDescent="0.25">
      <c r="A35" s="97" t="s">
        <v>104</v>
      </c>
      <c r="B35" s="93"/>
      <c r="C35" s="94"/>
      <c r="D35" s="92" t="s">
        <v>104</v>
      </c>
      <c r="E35" s="93"/>
      <c r="F35" s="94"/>
      <c r="G35" s="92" t="s">
        <v>104</v>
      </c>
      <c r="H35" s="93"/>
      <c r="I35" s="94"/>
    </row>
    <row r="36" spans="1:9" x14ac:dyDescent="0.25">
      <c r="A36" s="30" t="s">
        <v>105</v>
      </c>
    </row>
    <row r="37" spans="1:9" ht="12.75" customHeight="1" x14ac:dyDescent="0.25">
      <c r="A37" s="74" t="s">
        <v>18</v>
      </c>
      <c r="B37" s="69"/>
      <c r="C37" s="69"/>
      <c r="D37" s="69"/>
      <c r="E37" s="69"/>
      <c r="F37" s="69"/>
      <c r="G37" s="69"/>
      <c r="H37" s="69"/>
      <c r="I37" s="69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22" t="s">
        <v>106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79" t="s">
        <v>1</v>
      </c>
      <c r="B2" s="76"/>
      <c r="C2" s="84" t="str">
        <f>'Stavební rozpočet'!D2</f>
        <v>24107 Bruntál, Šrámkova, oprava dětského hřiště</v>
      </c>
      <c r="D2" s="121"/>
      <c r="E2" s="83" t="s">
        <v>4</v>
      </c>
      <c r="F2" s="83" t="str">
        <f>'Stavební rozpočet'!J2</f>
        <v> </v>
      </c>
      <c r="G2" s="76"/>
      <c r="H2" s="83" t="s">
        <v>60</v>
      </c>
      <c r="I2" s="123" t="s">
        <v>18</v>
      </c>
    </row>
    <row r="3" spans="1:9" ht="15" customHeight="1" x14ac:dyDescent="0.25">
      <c r="A3" s="80"/>
      <c r="B3" s="69"/>
      <c r="C3" s="85"/>
      <c r="D3" s="85"/>
      <c r="E3" s="69"/>
      <c r="F3" s="69"/>
      <c r="G3" s="69"/>
      <c r="H3" s="69"/>
      <c r="I3" s="71"/>
    </row>
    <row r="4" spans="1:9" x14ac:dyDescent="0.25">
      <c r="A4" s="81" t="s">
        <v>5</v>
      </c>
      <c r="B4" s="69"/>
      <c r="C4" s="74" t="str">
        <f>'Stavební rozpočet'!D4</f>
        <v xml:space="preserve"> </v>
      </c>
      <c r="D4" s="69"/>
      <c r="E4" s="74" t="s">
        <v>8</v>
      </c>
      <c r="F4" s="74" t="str">
        <f>'Stavební rozpočet'!J4</f>
        <v> </v>
      </c>
      <c r="G4" s="69"/>
      <c r="H4" s="74" t="s">
        <v>60</v>
      </c>
      <c r="I4" s="71" t="s">
        <v>18</v>
      </c>
    </row>
    <row r="5" spans="1:9" ht="15" customHeight="1" x14ac:dyDescent="0.25">
      <c r="A5" s="80"/>
      <c r="B5" s="69"/>
      <c r="C5" s="69"/>
      <c r="D5" s="69"/>
      <c r="E5" s="69"/>
      <c r="F5" s="69"/>
      <c r="G5" s="69"/>
      <c r="H5" s="69"/>
      <c r="I5" s="71"/>
    </row>
    <row r="6" spans="1:9" x14ac:dyDescent="0.25">
      <c r="A6" s="81" t="s">
        <v>9</v>
      </c>
      <c r="B6" s="69"/>
      <c r="C6" s="74" t="str">
        <f>'Stavební rozpočet'!D6</f>
        <v xml:space="preserve"> </v>
      </c>
      <c r="D6" s="69"/>
      <c r="E6" s="74" t="s">
        <v>11</v>
      </c>
      <c r="F6" s="74" t="str">
        <f>'Stavební rozpočet'!J6</f>
        <v> </v>
      </c>
      <c r="G6" s="69"/>
      <c r="H6" s="74" t="s">
        <v>60</v>
      </c>
      <c r="I6" s="71" t="s">
        <v>18</v>
      </c>
    </row>
    <row r="7" spans="1:9" ht="15" customHeight="1" x14ac:dyDescent="0.25">
      <c r="A7" s="80"/>
      <c r="B7" s="69"/>
      <c r="C7" s="69"/>
      <c r="D7" s="69"/>
      <c r="E7" s="69"/>
      <c r="F7" s="69"/>
      <c r="G7" s="69"/>
      <c r="H7" s="69"/>
      <c r="I7" s="71"/>
    </row>
    <row r="8" spans="1:9" x14ac:dyDescent="0.25">
      <c r="A8" s="81" t="s">
        <v>6</v>
      </c>
      <c r="B8" s="69"/>
      <c r="C8" s="74" t="str">
        <f>'Stavební rozpočet'!H4</f>
        <v>08.07.2024</v>
      </c>
      <c r="D8" s="69"/>
      <c r="E8" s="74" t="s">
        <v>10</v>
      </c>
      <c r="F8" s="74" t="str">
        <f>'Stavební rozpočet'!H6</f>
        <v xml:space="preserve"> </v>
      </c>
      <c r="G8" s="69"/>
      <c r="H8" s="69" t="s">
        <v>61</v>
      </c>
      <c r="I8" s="124">
        <v>42</v>
      </c>
    </row>
    <row r="9" spans="1:9" x14ac:dyDescent="0.25">
      <c r="A9" s="80"/>
      <c r="B9" s="69"/>
      <c r="C9" s="69"/>
      <c r="D9" s="69"/>
      <c r="E9" s="69"/>
      <c r="F9" s="69"/>
      <c r="G9" s="69"/>
      <c r="H9" s="69"/>
      <c r="I9" s="71"/>
    </row>
    <row r="10" spans="1:9" x14ac:dyDescent="0.25">
      <c r="A10" s="81" t="s">
        <v>62</v>
      </c>
      <c r="B10" s="69"/>
      <c r="C10" s="74" t="str">
        <f>'Stavební rozpočet'!D8</f>
        <v xml:space="preserve"> </v>
      </c>
      <c r="D10" s="69"/>
      <c r="E10" s="74" t="s">
        <v>12</v>
      </c>
      <c r="F10" s="74" t="str">
        <f>'Stavební rozpočet'!J8</f>
        <v> </v>
      </c>
      <c r="G10" s="69"/>
      <c r="H10" s="69" t="s">
        <v>63</v>
      </c>
      <c r="I10" s="72" t="str">
        <f>'Stavební rozpočet'!H8</f>
        <v>08.07.2024</v>
      </c>
    </row>
    <row r="11" spans="1:9" x14ac:dyDescent="0.25">
      <c r="A11" s="120"/>
      <c r="B11" s="77"/>
      <c r="C11" s="77"/>
      <c r="D11" s="77"/>
      <c r="E11" s="77"/>
      <c r="F11" s="77"/>
      <c r="G11" s="77"/>
      <c r="H11" s="77"/>
      <c r="I11" s="116"/>
    </row>
    <row r="13" spans="1:9" ht="15.75" x14ac:dyDescent="0.25">
      <c r="A13" s="134" t="s">
        <v>107</v>
      </c>
      <c r="B13" s="134"/>
      <c r="C13" s="134"/>
      <c r="D13" s="134"/>
      <c r="E13" s="134"/>
    </row>
    <row r="14" spans="1:9" x14ac:dyDescent="0.25">
      <c r="A14" s="135" t="s">
        <v>108</v>
      </c>
      <c r="B14" s="136"/>
      <c r="C14" s="136"/>
      <c r="D14" s="136"/>
      <c r="E14" s="137"/>
      <c r="F14" s="31" t="s">
        <v>109</v>
      </c>
      <c r="G14" s="31" t="s">
        <v>110</v>
      </c>
      <c r="H14" s="31" t="s">
        <v>111</v>
      </c>
      <c r="I14" s="31" t="s">
        <v>109</v>
      </c>
    </row>
    <row r="15" spans="1:9" x14ac:dyDescent="0.25">
      <c r="A15" s="141" t="s">
        <v>73</v>
      </c>
      <c r="B15" s="142"/>
      <c r="C15" s="142"/>
      <c r="D15" s="142"/>
      <c r="E15" s="143"/>
      <c r="F15" s="32">
        <v>0</v>
      </c>
      <c r="G15" s="33" t="s">
        <v>18</v>
      </c>
      <c r="H15" s="33" t="s">
        <v>18</v>
      </c>
      <c r="I15" s="32">
        <f>F15</f>
        <v>0</v>
      </c>
    </row>
    <row r="16" spans="1:9" x14ac:dyDescent="0.25">
      <c r="A16" s="141" t="s">
        <v>76</v>
      </c>
      <c r="B16" s="142"/>
      <c r="C16" s="142"/>
      <c r="D16" s="142"/>
      <c r="E16" s="143"/>
      <c r="F16" s="32">
        <v>0</v>
      </c>
      <c r="G16" s="33" t="s">
        <v>18</v>
      </c>
      <c r="H16" s="33" t="s">
        <v>18</v>
      </c>
      <c r="I16" s="32">
        <f>F16</f>
        <v>0</v>
      </c>
    </row>
    <row r="17" spans="1:9" x14ac:dyDescent="0.25">
      <c r="A17" s="138" t="s">
        <v>79</v>
      </c>
      <c r="B17" s="139"/>
      <c r="C17" s="139"/>
      <c r="D17" s="139"/>
      <c r="E17" s="140"/>
      <c r="F17" s="34">
        <v>0</v>
      </c>
      <c r="G17" s="35" t="s">
        <v>18</v>
      </c>
      <c r="H17" s="35" t="s">
        <v>18</v>
      </c>
      <c r="I17" s="34">
        <f>F17</f>
        <v>0</v>
      </c>
    </row>
    <row r="18" spans="1:9" x14ac:dyDescent="0.25">
      <c r="A18" s="125" t="s">
        <v>112</v>
      </c>
      <c r="B18" s="126"/>
      <c r="C18" s="126"/>
      <c r="D18" s="126"/>
      <c r="E18" s="127"/>
      <c r="F18" s="36" t="s">
        <v>18</v>
      </c>
      <c r="G18" s="37" t="s">
        <v>18</v>
      </c>
      <c r="H18" s="37" t="s">
        <v>18</v>
      </c>
      <c r="I18" s="38">
        <f>SUM(I15:I17)</f>
        <v>0</v>
      </c>
    </row>
    <row r="20" spans="1:9" x14ac:dyDescent="0.25">
      <c r="A20" s="135" t="s">
        <v>70</v>
      </c>
      <c r="B20" s="136"/>
      <c r="C20" s="136"/>
      <c r="D20" s="136"/>
      <c r="E20" s="137"/>
      <c r="F20" s="31" t="s">
        <v>109</v>
      </c>
      <c r="G20" s="31" t="s">
        <v>110</v>
      </c>
      <c r="H20" s="31" t="s">
        <v>111</v>
      </c>
      <c r="I20" s="31" t="s">
        <v>109</v>
      </c>
    </row>
    <row r="21" spans="1:9" x14ac:dyDescent="0.25">
      <c r="A21" s="141" t="s">
        <v>74</v>
      </c>
      <c r="B21" s="142"/>
      <c r="C21" s="142"/>
      <c r="D21" s="142"/>
      <c r="E21" s="143"/>
      <c r="F21" s="32">
        <v>0</v>
      </c>
      <c r="G21" s="33" t="s">
        <v>18</v>
      </c>
      <c r="H21" s="33" t="s">
        <v>18</v>
      </c>
      <c r="I21" s="32">
        <f t="shared" ref="I21:I26" si="0">F21</f>
        <v>0</v>
      </c>
    </row>
    <row r="22" spans="1:9" x14ac:dyDescent="0.25">
      <c r="A22" s="141" t="s">
        <v>77</v>
      </c>
      <c r="B22" s="142"/>
      <c r="C22" s="142"/>
      <c r="D22" s="142"/>
      <c r="E22" s="143"/>
      <c r="F22" s="32">
        <v>0</v>
      </c>
      <c r="G22" s="33" t="s">
        <v>18</v>
      </c>
      <c r="H22" s="33" t="s">
        <v>18</v>
      </c>
      <c r="I22" s="32">
        <f t="shared" si="0"/>
        <v>0</v>
      </c>
    </row>
    <row r="23" spans="1:9" x14ac:dyDescent="0.25">
      <c r="A23" s="141" t="s">
        <v>80</v>
      </c>
      <c r="B23" s="142"/>
      <c r="C23" s="142"/>
      <c r="D23" s="142"/>
      <c r="E23" s="143"/>
      <c r="F23" s="32">
        <v>0</v>
      </c>
      <c r="G23" s="33" t="s">
        <v>18</v>
      </c>
      <c r="H23" s="33" t="s">
        <v>18</v>
      </c>
      <c r="I23" s="32">
        <f t="shared" si="0"/>
        <v>0</v>
      </c>
    </row>
    <row r="24" spans="1:9" x14ac:dyDescent="0.25">
      <c r="A24" s="141" t="s">
        <v>81</v>
      </c>
      <c r="B24" s="142"/>
      <c r="C24" s="142"/>
      <c r="D24" s="142"/>
      <c r="E24" s="143"/>
      <c r="F24" s="32">
        <v>0</v>
      </c>
      <c r="G24" s="33" t="s">
        <v>18</v>
      </c>
      <c r="H24" s="33" t="s">
        <v>18</v>
      </c>
      <c r="I24" s="32">
        <f t="shared" si="0"/>
        <v>0</v>
      </c>
    </row>
    <row r="25" spans="1:9" x14ac:dyDescent="0.25">
      <c r="A25" s="141" t="s">
        <v>83</v>
      </c>
      <c r="B25" s="142"/>
      <c r="C25" s="142"/>
      <c r="D25" s="142"/>
      <c r="E25" s="143"/>
      <c r="F25" s="32">
        <v>0</v>
      </c>
      <c r="G25" s="33" t="s">
        <v>18</v>
      </c>
      <c r="H25" s="33" t="s">
        <v>18</v>
      </c>
      <c r="I25" s="32">
        <f t="shared" si="0"/>
        <v>0</v>
      </c>
    </row>
    <row r="26" spans="1:9" x14ac:dyDescent="0.25">
      <c r="A26" s="138" t="s">
        <v>84</v>
      </c>
      <c r="B26" s="139"/>
      <c r="C26" s="139"/>
      <c r="D26" s="139"/>
      <c r="E26" s="140"/>
      <c r="F26" s="34">
        <v>0</v>
      </c>
      <c r="G26" s="35" t="s">
        <v>18</v>
      </c>
      <c r="H26" s="35" t="s">
        <v>18</v>
      </c>
      <c r="I26" s="34">
        <f t="shared" si="0"/>
        <v>0</v>
      </c>
    </row>
    <row r="27" spans="1:9" x14ac:dyDescent="0.25">
      <c r="A27" s="125" t="s">
        <v>113</v>
      </c>
      <c r="B27" s="126"/>
      <c r="C27" s="126"/>
      <c r="D27" s="126"/>
      <c r="E27" s="127"/>
      <c r="F27" s="36" t="s">
        <v>18</v>
      </c>
      <c r="G27" s="37" t="s">
        <v>18</v>
      </c>
      <c r="H27" s="37" t="s">
        <v>18</v>
      </c>
      <c r="I27" s="38">
        <f>SUM(I21:I26)</f>
        <v>0</v>
      </c>
    </row>
    <row r="29" spans="1:9" ht="15.75" x14ac:dyDescent="0.25">
      <c r="A29" s="128" t="s">
        <v>114</v>
      </c>
      <c r="B29" s="129"/>
      <c r="C29" s="129"/>
      <c r="D29" s="129"/>
      <c r="E29" s="130"/>
      <c r="F29" s="131">
        <f>I18+I27</f>
        <v>0</v>
      </c>
      <c r="G29" s="132"/>
      <c r="H29" s="132"/>
      <c r="I29" s="133"/>
    </row>
    <row r="33" spans="1:9" ht="15.75" x14ac:dyDescent="0.25">
      <c r="A33" s="134" t="s">
        <v>115</v>
      </c>
      <c r="B33" s="134"/>
      <c r="C33" s="134"/>
      <c r="D33" s="134"/>
      <c r="E33" s="134"/>
    </row>
    <row r="34" spans="1:9" x14ac:dyDescent="0.25">
      <c r="A34" s="135" t="s">
        <v>116</v>
      </c>
      <c r="B34" s="136"/>
      <c r="C34" s="136"/>
      <c r="D34" s="136"/>
      <c r="E34" s="137"/>
      <c r="F34" s="31" t="s">
        <v>109</v>
      </c>
      <c r="G34" s="31" t="s">
        <v>110</v>
      </c>
      <c r="H34" s="31" t="s">
        <v>111</v>
      </c>
      <c r="I34" s="31" t="s">
        <v>109</v>
      </c>
    </row>
    <row r="35" spans="1:9" x14ac:dyDescent="0.25">
      <c r="A35" s="138" t="s">
        <v>18</v>
      </c>
      <c r="B35" s="139"/>
      <c r="C35" s="139"/>
      <c r="D35" s="139"/>
      <c r="E35" s="140"/>
      <c r="F35" s="34">
        <v>0</v>
      </c>
      <c r="G35" s="35" t="s">
        <v>18</v>
      </c>
      <c r="H35" s="35" t="s">
        <v>18</v>
      </c>
      <c r="I35" s="34">
        <f>F35</f>
        <v>0</v>
      </c>
    </row>
    <row r="36" spans="1:9" x14ac:dyDescent="0.25">
      <c r="A36" s="125" t="s">
        <v>117</v>
      </c>
      <c r="B36" s="126"/>
      <c r="C36" s="126"/>
      <c r="D36" s="126"/>
      <c r="E36" s="127"/>
      <c r="F36" s="36" t="s">
        <v>18</v>
      </c>
      <c r="G36" s="37" t="s">
        <v>18</v>
      </c>
      <c r="H36" s="37" t="s">
        <v>18</v>
      </c>
      <c r="I36" s="38">
        <f>SUM(I35:I35)</f>
        <v>0</v>
      </c>
    </row>
  </sheetData>
  <mergeCells count="51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36:E36"/>
    <mergeCell ref="A29:E29"/>
    <mergeCell ref="F29:I29"/>
    <mergeCell ref="A33:E33"/>
    <mergeCell ref="A34:E34"/>
    <mergeCell ref="A35:E35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Z134"/>
  <sheetViews>
    <sheetView tabSelected="1" workbookViewId="0">
      <pane ySplit="11" topLeftCell="A114" activePane="bottomLeft" state="frozen"/>
      <selection pane="bottomLeft" activeCell="D86" sqref="D86"/>
    </sheetView>
  </sheetViews>
  <sheetFormatPr defaultColWidth="12.140625" defaultRowHeight="15" customHeight="1" x14ac:dyDescent="0.25"/>
  <cols>
    <col min="1" max="1" width="3.140625" customWidth="1"/>
    <col min="2" max="2" width="7.5703125" customWidth="1"/>
    <col min="3" max="3" width="17.85546875" customWidth="1"/>
    <col min="4" max="4" width="34.85546875" customWidth="1"/>
    <col min="5" max="5" width="35.7109375" customWidth="1"/>
    <col min="6" max="6" width="4.28515625" customWidth="1"/>
    <col min="7" max="7" width="12.85546875" customWidth="1"/>
    <col min="8" max="8" width="12" customWidth="1"/>
    <col min="9" max="9" width="15.7109375" customWidth="1"/>
    <col min="25" max="75" width="12.140625" hidden="1"/>
    <col min="76" max="76" width="70.5703125" hidden="1" customWidth="1"/>
    <col min="77" max="78" width="12.140625" hidden="1"/>
  </cols>
  <sheetData>
    <row r="1" spans="1:76" ht="54.75" customHeight="1" x14ac:dyDescent="0.25">
      <c r="A1" s="78" t="s">
        <v>118</v>
      </c>
      <c r="B1" s="78"/>
      <c r="C1" s="78"/>
      <c r="D1" s="78"/>
      <c r="E1" s="78"/>
      <c r="F1" s="78"/>
      <c r="G1" s="78"/>
      <c r="H1" s="78"/>
      <c r="I1" s="78"/>
      <c r="J1" s="78"/>
      <c r="K1" s="78"/>
      <c r="AS1" s="39">
        <f>SUM(AJ1:AJ2)</f>
        <v>0</v>
      </c>
      <c r="AT1" s="39">
        <f>SUM(AK1:AK2)</f>
        <v>0</v>
      </c>
      <c r="AU1" s="39">
        <f>SUM(AL1:AL2)</f>
        <v>0</v>
      </c>
    </row>
    <row r="2" spans="1:76" x14ac:dyDescent="0.25">
      <c r="A2" s="79" t="s">
        <v>1</v>
      </c>
      <c r="B2" s="76"/>
      <c r="C2" s="76"/>
      <c r="D2" s="84" t="s">
        <v>119</v>
      </c>
      <c r="E2" s="121"/>
      <c r="F2" s="76" t="s">
        <v>2</v>
      </c>
      <c r="G2" s="76"/>
      <c r="H2" s="76" t="s">
        <v>3</v>
      </c>
      <c r="I2" s="83" t="s">
        <v>4</v>
      </c>
      <c r="J2" s="76" t="s">
        <v>120</v>
      </c>
      <c r="K2" s="123"/>
    </row>
    <row r="3" spans="1:76" x14ac:dyDescent="0.25">
      <c r="A3" s="80"/>
      <c r="B3" s="69"/>
      <c r="C3" s="69"/>
      <c r="D3" s="85"/>
      <c r="E3" s="85"/>
      <c r="F3" s="69"/>
      <c r="G3" s="69"/>
      <c r="H3" s="69"/>
      <c r="I3" s="69"/>
      <c r="J3" s="69"/>
      <c r="K3" s="71"/>
    </row>
    <row r="4" spans="1:76" x14ac:dyDescent="0.25">
      <c r="A4" s="81" t="s">
        <v>5</v>
      </c>
      <c r="B4" s="69"/>
      <c r="C4" s="69"/>
      <c r="D4" s="74" t="s">
        <v>3</v>
      </c>
      <c r="E4" s="69"/>
      <c r="F4" s="69" t="s">
        <v>6</v>
      </c>
      <c r="G4" s="69"/>
      <c r="H4" s="69" t="s">
        <v>7</v>
      </c>
      <c r="I4" s="74" t="s">
        <v>8</v>
      </c>
      <c r="J4" s="69" t="s">
        <v>120</v>
      </c>
      <c r="K4" s="71"/>
    </row>
    <row r="5" spans="1:76" x14ac:dyDescent="0.25">
      <c r="A5" s="80"/>
      <c r="B5" s="69"/>
      <c r="C5" s="69"/>
      <c r="D5" s="69"/>
      <c r="E5" s="69"/>
      <c r="F5" s="69"/>
      <c r="G5" s="69"/>
      <c r="H5" s="69"/>
      <c r="I5" s="69"/>
      <c r="J5" s="69"/>
      <c r="K5" s="71"/>
    </row>
    <row r="6" spans="1:76" x14ac:dyDescent="0.25">
      <c r="A6" s="81" t="s">
        <v>9</v>
      </c>
      <c r="B6" s="69"/>
      <c r="C6" s="69"/>
      <c r="D6" s="74" t="s">
        <v>3</v>
      </c>
      <c r="E6" s="69"/>
      <c r="F6" s="69" t="s">
        <v>10</v>
      </c>
      <c r="G6" s="69"/>
      <c r="H6" s="69" t="s">
        <v>3</v>
      </c>
      <c r="I6" s="74" t="s">
        <v>11</v>
      </c>
      <c r="J6" s="69" t="s">
        <v>120</v>
      </c>
      <c r="K6" s="71"/>
    </row>
    <row r="7" spans="1:76" x14ac:dyDescent="0.25">
      <c r="A7" s="80"/>
      <c r="B7" s="69"/>
      <c r="C7" s="69"/>
      <c r="D7" s="69"/>
      <c r="E7" s="69"/>
      <c r="F7" s="69"/>
      <c r="G7" s="69"/>
      <c r="H7" s="69"/>
      <c r="I7" s="69"/>
      <c r="J7" s="69"/>
      <c r="K7" s="71"/>
    </row>
    <row r="8" spans="1:76" x14ac:dyDescent="0.25">
      <c r="A8" s="81" t="s">
        <v>62</v>
      </c>
      <c r="B8" s="69"/>
      <c r="C8" s="69"/>
      <c r="D8" s="74" t="s">
        <v>3</v>
      </c>
      <c r="E8" s="69"/>
      <c r="F8" s="69" t="s">
        <v>13</v>
      </c>
      <c r="G8" s="69"/>
      <c r="H8" s="69" t="s">
        <v>7</v>
      </c>
      <c r="I8" s="74" t="s">
        <v>12</v>
      </c>
      <c r="J8" s="69" t="s">
        <v>120</v>
      </c>
      <c r="K8" s="71"/>
    </row>
    <row r="9" spans="1:76" x14ac:dyDescent="0.25">
      <c r="A9" s="82"/>
      <c r="B9" s="75"/>
      <c r="C9" s="75"/>
      <c r="D9" s="75"/>
      <c r="E9" s="75"/>
      <c r="F9" s="75"/>
      <c r="G9" s="75"/>
      <c r="H9" s="75"/>
      <c r="I9" s="75"/>
      <c r="J9" s="77"/>
      <c r="K9" s="116"/>
    </row>
    <row r="10" spans="1:76" x14ac:dyDescent="0.25">
      <c r="A10" s="40" t="s">
        <v>121</v>
      </c>
      <c r="B10" s="41" t="s">
        <v>14</v>
      </c>
      <c r="C10" s="41" t="s">
        <v>15</v>
      </c>
      <c r="D10" s="154" t="s">
        <v>122</v>
      </c>
      <c r="E10" s="155"/>
      <c r="F10" s="41" t="s">
        <v>123</v>
      </c>
      <c r="G10" s="42" t="s">
        <v>124</v>
      </c>
      <c r="H10" s="43" t="s">
        <v>125</v>
      </c>
      <c r="I10" s="44" t="s">
        <v>126</v>
      </c>
      <c r="K10" s="45"/>
      <c r="BK10" s="46" t="s">
        <v>127</v>
      </c>
      <c r="BL10" s="47" t="s">
        <v>128</v>
      </c>
      <c r="BW10" s="47" t="s">
        <v>129</v>
      </c>
    </row>
    <row r="11" spans="1:76" x14ac:dyDescent="0.25">
      <c r="A11" s="48" t="s">
        <v>3</v>
      </c>
      <c r="B11" s="49" t="s">
        <v>3</v>
      </c>
      <c r="C11" s="49" t="s">
        <v>3</v>
      </c>
      <c r="D11" s="150" t="s">
        <v>130</v>
      </c>
      <c r="E11" s="151"/>
      <c r="F11" s="49" t="s">
        <v>3</v>
      </c>
      <c r="G11" s="49" t="s">
        <v>3</v>
      </c>
      <c r="H11" s="50" t="s">
        <v>131</v>
      </c>
      <c r="I11" s="51" t="s">
        <v>132</v>
      </c>
      <c r="K11" s="52"/>
      <c r="Z11" s="46" t="s">
        <v>133</v>
      </c>
      <c r="AA11" s="46" t="s">
        <v>134</v>
      </c>
      <c r="AB11" s="46" t="s">
        <v>135</v>
      </c>
      <c r="AC11" s="46" t="s">
        <v>136</v>
      </c>
      <c r="AD11" s="46" t="s">
        <v>137</v>
      </c>
      <c r="AE11" s="46" t="s">
        <v>138</v>
      </c>
      <c r="AF11" s="46" t="s">
        <v>139</v>
      </c>
      <c r="AG11" s="46" t="s">
        <v>140</v>
      </c>
      <c r="AH11" s="46" t="s">
        <v>141</v>
      </c>
      <c r="BH11" s="46" t="s">
        <v>142</v>
      </c>
      <c r="BI11" s="46" t="s">
        <v>143</v>
      </c>
      <c r="BJ11" s="46" t="s">
        <v>144</v>
      </c>
    </row>
    <row r="12" spans="1:76" x14ac:dyDescent="0.25">
      <c r="A12" s="53" t="s">
        <v>18</v>
      </c>
      <c r="B12" s="54" t="s">
        <v>18</v>
      </c>
      <c r="C12" s="54" t="s">
        <v>19</v>
      </c>
      <c r="D12" s="152" t="s">
        <v>20</v>
      </c>
      <c r="E12" s="153"/>
      <c r="F12" s="55" t="s">
        <v>3</v>
      </c>
      <c r="G12" s="55" t="s">
        <v>3</v>
      </c>
      <c r="H12" s="55" t="s">
        <v>3</v>
      </c>
      <c r="I12" s="56">
        <f>SUM(I13:I16)</f>
        <v>0</v>
      </c>
      <c r="K12" s="52"/>
      <c r="AI12" s="46" t="s">
        <v>18</v>
      </c>
      <c r="AS12" s="39">
        <f>SUM(AJ13:AJ16)</f>
        <v>0</v>
      </c>
      <c r="AT12" s="39">
        <f>SUM(AK13:AK16)</f>
        <v>0</v>
      </c>
      <c r="AU12" s="39">
        <f>SUM(AL13:AL16)</f>
        <v>0</v>
      </c>
    </row>
    <row r="13" spans="1:76" x14ac:dyDescent="0.25">
      <c r="A13" s="1" t="s">
        <v>145</v>
      </c>
      <c r="B13" s="2" t="s">
        <v>18</v>
      </c>
      <c r="C13" s="2" t="s">
        <v>146</v>
      </c>
      <c r="D13" s="74" t="s">
        <v>147</v>
      </c>
      <c r="E13" s="69"/>
      <c r="F13" s="2" t="s">
        <v>148</v>
      </c>
      <c r="G13" s="14">
        <v>1</v>
      </c>
      <c r="H13" s="14">
        <v>0</v>
      </c>
      <c r="I13" s="14">
        <f>G13*H13</f>
        <v>0</v>
      </c>
      <c r="K13" s="52"/>
      <c r="Z13" s="14">
        <f>IF(AQ13="5",BJ13,0)</f>
        <v>0</v>
      </c>
      <c r="AB13" s="14">
        <f>IF(AQ13="1",BH13,0)</f>
        <v>0</v>
      </c>
      <c r="AC13" s="14">
        <f>IF(AQ13="1",BI13,0)</f>
        <v>0</v>
      </c>
      <c r="AD13" s="14">
        <f>IF(AQ13="7",BH13,0)</f>
        <v>0</v>
      </c>
      <c r="AE13" s="14">
        <f>IF(AQ13="7",BI13,0)</f>
        <v>0</v>
      </c>
      <c r="AF13" s="14">
        <f>IF(AQ13="2",BH13,0)</f>
        <v>0</v>
      </c>
      <c r="AG13" s="14">
        <f>IF(AQ13="2",BI13,0)</f>
        <v>0</v>
      </c>
      <c r="AH13" s="14">
        <f>IF(AQ13="0",BJ13,0)</f>
        <v>0</v>
      </c>
      <c r="AI13" s="46" t="s">
        <v>18</v>
      </c>
      <c r="AJ13" s="14">
        <f>IF(AN13=0,I13,0)</f>
        <v>0</v>
      </c>
      <c r="AK13" s="14">
        <f>IF(AN13=12,I13,0)</f>
        <v>0</v>
      </c>
      <c r="AL13" s="14">
        <f>IF(AN13=21,I13,0)</f>
        <v>0</v>
      </c>
      <c r="AN13" s="14">
        <v>21</v>
      </c>
      <c r="AO13" s="14">
        <f>H13*0</f>
        <v>0</v>
      </c>
      <c r="AP13" s="14">
        <f>H13*(1-0)</f>
        <v>0</v>
      </c>
      <c r="AQ13" s="13" t="s">
        <v>145</v>
      </c>
      <c r="AV13" s="14">
        <f>AW13+AX13</f>
        <v>0</v>
      </c>
      <c r="AW13" s="14">
        <f>G13*AO13</f>
        <v>0</v>
      </c>
      <c r="AX13" s="14">
        <f>G13*AP13</f>
        <v>0</v>
      </c>
      <c r="AY13" s="13" t="s">
        <v>149</v>
      </c>
      <c r="AZ13" s="13" t="s">
        <v>150</v>
      </c>
      <c r="BA13" s="46" t="s">
        <v>151</v>
      </c>
      <c r="BC13" s="14">
        <f>AW13+AX13</f>
        <v>0</v>
      </c>
      <c r="BD13" s="14">
        <f>H13/(100-BE13)*100</f>
        <v>0</v>
      </c>
      <c r="BE13" s="14">
        <v>0</v>
      </c>
      <c r="BF13" s="14">
        <f>13</f>
        <v>13</v>
      </c>
      <c r="BH13" s="14">
        <f>G13*AO13</f>
        <v>0</v>
      </c>
      <c r="BI13" s="14">
        <f>G13*AP13</f>
        <v>0</v>
      </c>
      <c r="BJ13" s="14">
        <f>G13*H13</f>
        <v>0</v>
      </c>
      <c r="BK13" s="14"/>
      <c r="BL13" s="14">
        <v>0</v>
      </c>
      <c r="BW13" s="14">
        <v>21</v>
      </c>
      <c r="BX13" s="4" t="s">
        <v>147</v>
      </c>
    </row>
    <row r="14" spans="1:76" x14ac:dyDescent="0.25">
      <c r="A14" s="1" t="s">
        <v>152</v>
      </c>
      <c r="B14" s="2" t="s">
        <v>18</v>
      </c>
      <c r="C14" s="2" t="s">
        <v>153</v>
      </c>
      <c r="D14" s="74" t="s">
        <v>154</v>
      </c>
      <c r="E14" s="69"/>
      <c r="F14" s="2" t="s">
        <v>148</v>
      </c>
      <c r="G14" s="14">
        <v>1</v>
      </c>
      <c r="H14" s="14">
        <v>0</v>
      </c>
      <c r="I14" s="14">
        <f>G14*H14</f>
        <v>0</v>
      </c>
      <c r="K14" s="52"/>
      <c r="Z14" s="14">
        <f>IF(AQ14="5",BJ14,0)</f>
        <v>0</v>
      </c>
      <c r="AB14" s="14">
        <f>IF(AQ14="1",BH14,0)</f>
        <v>0</v>
      </c>
      <c r="AC14" s="14">
        <f>IF(AQ14="1",BI14,0)</f>
        <v>0</v>
      </c>
      <c r="AD14" s="14">
        <f>IF(AQ14="7",BH14,0)</f>
        <v>0</v>
      </c>
      <c r="AE14" s="14">
        <f>IF(AQ14="7",BI14,0)</f>
        <v>0</v>
      </c>
      <c r="AF14" s="14">
        <f>IF(AQ14="2",BH14,0)</f>
        <v>0</v>
      </c>
      <c r="AG14" s="14">
        <f>IF(AQ14="2",BI14,0)</f>
        <v>0</v>
      </c>
      <c r="AH14" s="14">
        <f>IF(AQ14="0",BJ14,0)</f>
        <v>0</v>
      </c>
      <c r="AI14" s="46" t="s">
        <v>18</v>
      </c>
      <c r="AJ14" s="14">
        <f>IF(AN14=0,I14,0)</f>
        <v>0</v>
      </c>
      <c r="AK14" s="14">
        <f>IF(AN14=12,I14,0)</f>
        <v>0</v>
      </c>
      <c r="AL14" s="14">
        <f>IF(AN14=21,I14,0)</f>
        <v>0</v>
      </c>
      <c r="AN14" s="14">
        <v>21</v>
      </c>
      <c r="AO14" s="14">
        <f>H14*0</f>
        <v>0</v>
      </c>
      <c r="AP14" s="14">
        <f>H14*(1-0)</f>
        <v>0</v>
      </c>
      <c r="AQ14" s="13" t="s">
        <v>145</v>
      </c>
      <c r="AV14" s="14">
        <f>AW14+AX14</f>
        <v>0</v>
      </c>
      <c r="AW14" s="14">
        <f>G14*AO14</f>
        <v>0</v>
      </c>
      <c r="AX14" s="14">
        <f>G14*AP14</f>
        <v>0</v>
      </c>
      <c r="AY14" s="13" t="s">
        <v>149</v>
      </c>
      <c r="AZ14" s="13" t="s">
        <v>150</v>
      </c>
      <c r="BA14" s="46" t="s">
        <v>151</v>
      </c>
      <c r="BC14" s="14">
        <f>AW14+AX14</f>
        <v>0</v>
      </c>
      <c r="BD14" s="14">
        <f>H14/(100-BE14)*100</f>
        <v>0</v>
      </c>
      <c r="BE14" s="14">
        <v>0</v>
      </c>
      <c r="BF14" s="14">
        <f>14</f>
        <v>14</v>
      </c>
      <c r="BH14" s="14">
        <f>G14*AO14</f>
        <v>0</v>
      </c>
      <c r="BI14" s="14">
        <f>G14*AP14</f>
        <v>0</v>
      </c>
      <c r="BJ14" s="14">
        <f>G14*H14</f>
        <v>0</v>
      </c>
      <c r="BK14" s="14"/>
      <c r="BL14" s="14">
        <v>0</v>
      </c>
      <c r="BW14" s="14">
        <v>21</v>
      </c>
      <c r="BX14" s="4" t="s">
        <v>154</v>
      </c>
    </row>
    <row r="15" spans="1:76" x14ac:dyDescent="0.25">
      <c r="A15" s="1" t="s">
        <v>155</v>
      </c>
      <c r="B15" s="2" t="s">
        <v>18</v>
      </c>
      <c r="C15" s="2" t="s">
        <v>156</v>
      </c>
      <c r="D15" s="74" t="s">
        <v>157</v>
      </c>
      <c r="E15" s="69"/>
      <c r="F15" s="2" t="s">
        <v>148</v>
      </c>
      <c r="G15" s="14">
        <v>1</v>
      </c>
      <c r="H15" s="14">
        <v>0</v>
      </c>
      <c r="I15" s="14">
        <f>G15*H15</f>
        <v>0</v>
      </c>
      <c r="K15" s="52"/>
      <c r="Z15" s="14">
        <f>IF(AQ15="5",BJ15,0)</f>
        <v>0</v>
      </c>
      <c r="AB15" s="14">
        <f>IF(AQ15="1",BH15,0)</f>
        <v>0</v>
      </c>
      <c r="AC15" s="14">
        <f>IF(AQ15="1",BI15,0)</f>
        <v>0</v>
      </c>
      <c r="AD15" s="14">
        <f>IF(AQ15="7",BH15,0)</f>
        <v>0</v>
      </c>
      <c r="AE15" s="14">
        <f>IF(AQ15="7",BI15,0)</f>
        <v>0</v>
      </c>
      <c r="AF15" s="14">
        <f>IF(AQ15="2",BH15,0)</f>
        <v>0</v>
      </c>
      <c r="AG15" s="14">
        <f>IF(AQ15="2",BI15,0)</f>
        <v>0</v>
      </c>
      <c r="AH15" s="14">
        <f>IF(AQ15="0",BJ15,0)</f>
        <v>0</v>
      </c>
      <c r="AI15" s="46" t="s">
        <v>18</v>
      </c>
      <c r="AJ15" s="14">
        <f>IF(AN15=0,I15,0)</f>
        <v>0</v>
      </c>
      <c r="AK15" s="14">
        <f>IF(AN15=12,I15,0)</f>
        <v>0</v>
      </c>
      <c r="AL15" s="14">
        <f>IF(AN15=21,I15,0)</f>
        <v>0</v>
      </c>
      <c r="AN15" s="14">
        <v>21</v>
      </c>
      <c r="AO15" s="14">
        <f>H15*0</f>
        <v>0</v>
      </c>
      <c r="AP15" s="14">
        <f>H15*(1-0)</f>
        <v>0</v>
      </c>
      <c r="AQ15" s="13" t="s">
        <v>145</v>
      </c>
      <c r="AV15" s="14">
        <f>AW15+AX15</f>
        <v>0</v>
      </c>
      <c r="AW15" s="14">
        <f>G15*AO15</f>
        <v>0</v>
      </c>
      <c r="AX15" s="14">
        <f>G15*AP15</f>
        <v>0</v>
      </c>
      <c r="AY15" s="13" t="s">
        <v>149</v>
      </c>
      <c r="AZ15" s="13" t="s">
        <v>150</v>
      </c>
      <c r="BA15" s="46" t="s">
        <v>151</v>
      </c>
      <c r="BC15" s="14">
        <f>AW15+AX15</f>
        <v>0</v>
      </c>
      <c r="BD15" s="14">
        <f>H15/(100-BE15)*100</f>
        <v>0</v>
      </c>
      <c r="BE15" s="14">
        <v>0</v>
      </c>
      <c r="BF15" s="14">
        <f>15</f>
        <v>15</v>
      </c>
      <c r="BH15" s="14">
        <f>G15*AO15</f>
        <v>0</v>
      </c>
      <c r="BI15" s="14">
        <f>G15*AP15</f>
        <v>0</v>
      </c>
      <c r="BJ15" s="14">
        <f>G15*H15</f>
        <v>0</v>
      </c>
      <c r="BK15" s="14"/>
      <c r="BL15" s="14">
        <v>0</v>
      </c>
      <c r="BW15" s="14">
        <v>21</v>
      </c>
      <c r="BX15" s="4" t="s">
        <v>157</v>
      </c>
    </row>
    <row r="16" spans="1:76" x14ac:dyDescent="0.25">
      <c r="A16" s="1" t="s">
        <v>158</v>
      </c>
      <c r="B16" s="2" t="s">
        <v>18</v>
      </c>
      <c r="C16" s="2" t="s">
        <v>159</v>
      </c>
      <c r="D16" s="74" t="s">
        <v>160</v>
      </c>
      <c r="E16" s="69"/>
      <c r="F16" s="2" t="s">
        <v>148</v>
      </c>
      <c r="G16" s="14">
        <v>1</v>
      </c>
      <c r="H16" s="14">
        <v>0</v>
      </c>
      <c r="I16" s="14">
        <f>G16*H16</f>
        <v>0</v>
      </c>
      <c r="K16" s="52"/>
      <c r="Z16" s="14">
        <f>IF(AQ16="5",BJ16,0)</f>
        <v>0</v>
      </c>
      <c r="AB16" s="14">
        <f>IF(AQ16="1",BH16,0)</f>
        <v>0</v>
      </c>
      <c r="AC16" s="14">
        <f>IF(AQ16="1",BI16,0)</f>
        <v>0</v>
      </c>
      <c r="AD16" s="14">
        <f>IF(AQ16="7",BH16,0)</f>
        <v>0</v>
      </c>
      <c r="AE16" s="14">
        <f>IF(AQ16="7",BI16,0)</f>
        <v>0</v>
      </c>
      <c r="AF16" s="14">
        <f>IF(AQ16="2",BH16,0)</f>
        <v>0</v>
      </c>
      <c r="AG16" s="14">
        <f>IF(AQ16="2",BI16,0)</f>
        <v>0</v>
      </c>
      <c r="AH16" s="14">
        <f>IF(AQ16="0",BJ16,0)</f>
        <v>0</v>
      </c>
      <c r="AI16" s="46" t="s">
        <v>18</v>
      </c>
      <c r="AJ16" s="14">
        <f>IF(AN16=0,I16,0)</f>
        <v>0</v>
      </c>
      <c r="AK16" s="14">
        <f>IF(AN16=12,I16,0)</f>
        <v>0</v>
      </c>
      <c r="AL16" s="14">
        <f>IF(AN16=21,I16,0)</f>
        <v>0</v>
      </c>
      <c r="AN16" s="14">
        <v>21</v>
      </c>
      <c r="AO16" s="14">
        <f>H16*0</f>
        <v>0</v>
      </c>
      <c r="AP16" s="14">
        <f>H16*(1-0)</f>
        <v>0</v>
      </c>
      <c r="AQ16" s="13" t="s">
        <v>145</v>
      </c>
      <c r="AV16" s="14">
        <f>AW16+AX16</f>
        <v>0</v>
      </c>
      <c r="AW16" s="14">
        <f>G16*AO16</f>
        <v>0</v>
      </c>
      <c r="AX16" s="14">
        <f>G16*AP16</f>
        <v>0</v>
      </c>
      <c r="AY16" s="13" t="s">
        <v>149</v>
      </c>
      <c r="AZ16" s="13" t="s">
        <v>150</v>
      </c>
      <c r="BA16" s="46" t="s">
        <v>151</v>
      </c>
      <c r="BC16" s="14">
        <f>AW16+AX16</f>
        <v>0</v>
      </c>
      <c r="BD16" s="14">
        <f>H16/(100-BE16)*100</f>
        <v>0</v>
      </c>
      <c r="BE16" s="14">
        <v>0</v>
      </c>
      <c r="BF16" s="14">
        <f>16</f>
        <v>16</v>
      </c>
      <c r="BH16" s="14">
        <f>G16*AO16</f>
        <v>0</v>
      </c>
      <c r="BI16" s="14">
        <f>G16*AP16</f>
        <v>0</v>
      </c>
      <c r="BJ16" s="14">
        <f>G16*H16</f>
        <v>0</v>
      </c>
      <c r="BK16" s="14"/>
      <c r="BL16" s="14">
        <v>0</v>
      </c>
      <c r="BW16" s="14">
        <v>21</v>
      </c>
      <c r="BX16" s="4" t="s">
        <v>160</v>
      </c>
    </row>
    <row r="17" spans="1:76" x14ac:dyDescent="0.25">
      <c r="A17" s="57" t="s">
        <v>18</v>
      </c>
      <c r="B17" s="58" t="s">
        <v>18</v>
      </c>
      <c r="C17" s="58" t="s">
        <v>22</v>
      </c>
      <c r="D17" s="144" t="s">
        <v>23</v>
      </c>
      <c r="E17" s="145"/>
      <c r="F17" s="59" t="s">
        <v>3</v>
      </c>
      <c r="G17" s="59" t="s">
        <v>3</v>
      </c>
      <c r="H17" s="59" t="s">
        <v>3</v>
      </c>
      <c r="I17" s="39">
        <f>SUM(I18:I35)</f>
        <v>0</v>
      </c>
      <c r="K17" s="52"/>
      <c r="AI17" s="46" t="s">
        <v>18</v>
      </c>
      <c r="AS17" s="39">
        <f>SUM(AJ18:AJ35)</f>
        <v>0</v>
      </c>
      <c r="AT17" s="39">
        <f>SUM(AK18:AK35)</f>
        <v>0</v>
      </c>
      <c r="AU17" s="39">
        <f>SUM(AL18:AL35)</f>
        <v>0</v>
      </c>
    </row>
    <row r="18" spans="1:76" x14ac:dyDescent="0.25">
      <c r="A18" s="1" t="s">
        <v>161</v>
      </c>
      <c r="B18" s="2" t="s">
        <v>18</v>
      </c>
      <c r="C18" s="2" t="s">
        <v>162</v>
      </c>
      <c r="D18" s="74" t="s">
        <v>163</v>
      </c>
      <c r="E18" s="69"/>
      <c r="F18" s="2" t="s">
        <v>164</v>
      </c>
      <c r="G18" s="14">
        <v>13</v>
      </c>
      <c r="H18" s="14">
        <v>0</v>
      </c>
      <c r="I18" s="14">
        <f>G18*H18</f>
        <v>0</v>
      </c>
      <c r="K18" s="52"/>
      <c r="Z18" s="14">
        <f>IF(AQ18="5",BJ18,0)</f>
        <v>0</v>
      </c>
      <c r="AB18" s="14">
        <f>IF(AQ18="1",BH18,0)</f>
        <v>0</v>
      </c>
      <c r="AC18" s="14">
        <f>IF(AQ18="1",BI18,0)</f>
        <v>0</v>
      </c>
      <c r="AD18" s="14">
        <f>IF(AQ18="7",BH18,0)</f>
        <v>0</v>
      </c>
      <c r="AE18" s="14">
        <f>IF(AQ18="7",BI18,0)</f>
        <v>0</v>
      </c>
      <c r="AF18" s="14">
        <f>IF(AQ18="2",BH18,0)</f>
        <v>0</v>
      </c>
      <c r="AG18" s="14">
        <f>IF(AQ18="2",BI18,0)</f>
        <v>0</v>
      </c>
      <c r="AH18" s="14">
        <f>IF(AQ18="0",BJ18,0)</f>
        <v>0</v>
      </c>
      <c r="AI18" s="46" t="s">
        <v>18</v>
      </c>
      <c r="AJ18" s="14">
        <f>IF(AN18=0,I18,0)</f>
        <v>0</v>
      </c>
      <c r="AK18" s="14">
        <f>IF(AN18=12,I18,0)</f>
        <v>0</v>
      </c>
      <c r="AL18" s="14">
        <f>IF(AN18=21,I18,0)</f>
        <v>0</v>
      </c>
      <c r="AN18" s="14">
        <v>21</v>
      </c>
      <c r="AO18" s="14">
        <f>H18*0</f>
        <v>0</v>
      </c>
      <c r="AP18" s="14">
        <f>H18*(1-0)</f>
        <v>0</v>
      </c>
      <c r="AQ18" s="13" t="s">
        <v>145</v>
      </c>
      <c r="AV18" s="14">
        <f>AW18+AX18</f>
        <v>0</v>
      </c>
      <c r="AW18" s="14">
        <f>G18*AO18</f>
        <v>0</v>
      </c>
      <c r="AX18" s="14">
        <f>G18*AP18</f>
        <v>0</v>
      </c>
      <c r="AY18" s="13" t="s">
        <v>165</v>
      </c>
      <c r="AZ18" s="13" t="s">
        <v>166</v>
      </c>
      <c r="BA18" s="46" t="s">
        <v>151</v>
      </c>
      <c r="BC18" s="14">
        <f>AW18+AX18</f>
        <v>0</v>
      </c>
      <c r="BD18" s="14">
        <f>H18/(100-BE18)*100</f>
        <v>0</v>
      </c>
      <c r="BE18" s="14">
        <v>0</v>
      </c>
      <c r="BF18" s="14">
        <f>18</f>
        <v>18</v>
      </c>
      <c r="BH18" s="14">
        <f>G18*AO18</f>
        <v>0</v>
      </c>
      <c r="BI18" s="14">
        <f>G18*AP18</f>
        <v>0</v>
      </c>
      <c r="BJ18" s="14">
        <f>G18*H18</f>
        <v>0</v>
      </c>
      <c r="BK18" s="14"/>
      <c r="BL18" s="14">
        <v>11</v>
      </c>
      <c r="BW18" s="14">
        <v>21</v>
      </c>
      <c r="BX18" s="4" t="s">
        <v>163</v>
      </c>
    </row>
    <row r="19" spans="1:76" x14ac:dyDescent="0.25">
      <c r="A19" s="60"/>
      <c r="D19" s="61" t="s">
        <v>167</v>
      </c>
      <c r="E19" s="61" t="s">
        <v>18</v>
      </c>
      <c r="G19" s="62">
        <v>13</v>
      </c>
      <c r="K19" s="52"/>
    </row>
    <row r="20" spans="1:76" x14ac:dyDescent="0.25">
      <c r="A20" s="1" t="s">
        <v>168</v>
      </c>
      <c r="B20" s="2" t="s">
        <v>18</v>
      </c>
      <c r="C20" s="2" t="s">
        <v>169</v>
      </c>
      <c r="D20" s="74" t="s">
        <v>170</v>
      </c>
      <c r="E20" s="69"/>
      <c r="F20" s="2" t="s">
        <v>164</v>
      </c>
      <c r="G20" s="14">
        <v>160.02000000000001</v>
      </c>
      <c r="H20" s="14">
        <v>0</v>
      </c>
      <c r="I20" s="14">
        <f>G20*H20</f>
        <v>0</v>
      </c>
      <c r="K20" s="52"/>
      <c r="Z20" s="14">
        <f>IF(AQ20="5",BJ20,0)</f>
        <v>0</v>
      </c>
      <c r="AB20" s="14">
        <f>IF(AQ20="1",BH20,0)</f>
        <v>0</v>
      </c>
      <c r="AC20" s="14">
        <f>IF(AQ20="1",BI20,0)</f>
        <v>0</v>
      </c>
      <c r="AD20" s="14">
        <f>IF(AQ20="7",BH20,0)</f>
        <v>0</v>
      </c>
      <c r="AE20" s="14">
        <f>IF(AQ20="7",BI20,0)</f>
        <v>0</v>
      </c>
      <c r="AF20" s="14">
        <f>IF(AQ20="2",BH20,0)</f>
        <v>0</v>
      </c>
      <c r="AG20" s="14">
        <f>IF(AQ20="2",BI20,0)</f>
        <v>0</v>
      </c>
      <c r="AH20" s="14">
        <f>IF(AQ20="0",BJ20,0)</f>
        <v>0</v>
      </c>
      <c r="AI20" s="46" t="s">
        <v>18</v>
      </c>
      <c r="AJ20" s="14">
        <f>IF(AN20=0,I20,0)</f>
        <v>0</v>
      </c>
      <c r="AK20" s="14">
        <f>IF(AN20=12,I20,0)</f>
        <v>0</v>
      </c>
      <c r="AL20" s="14">
        <f>IF(AN20=21,I20,0)</f>
        <v>0</v>
      </c>
      <c r="AN20" s="14">
        <v>21</v>
      </c>
      <c r="AO20" s="14">
        <f>H20*0</f>
        <v>0</v>
      </c>
      <c r="AP20" s="14">
        <f>H20*(1-0)</f>
        <v>0</v>
      </c>
      <c r="AQ20" s="13" t="s">
        <v>145</v>
      </c>
      <c r="AV20" s="14">
        <f>AW20+AX20</f>
        <v>0</v>
      </c>
      <c r="AW20" s="14">
        <f>G20*AO20</f>
        <v>0</v>
      </c>
      <c r="AX20" s="14">
        <f>G20*AP20</f>
        <v>0</v>
      </c>
      <c r="AY20" s="13" t="s">
        <v>165</v>
      </c>
      <c r="AZ20" s="13" t="s">
        <v>166</v>
      </c>
      <c r="BA20" s="46" t="s">
        <v>151</v>
      </c>
      <c r="BC20" s="14">
        <f>AW20+AX20</f>
        <v>0</v>
      </c>
      <c r="BD20" s="14">
        <f>H20/(100-BE20)*100</f>
        <v>0</v>
      </c>
      <c r="BE20" s="14">
        <v>0</v>
      </c>
      <c r="BF20" s="14">
        <f>20</f>
        <v>20</v>
      </c>
      <c r="BH20" s="14">
        <f>G20*AO20</f>
        <v>0</v>
      </c>
      <c r="BI20" s="14">
        <f>G20*AP20</f>
        <v>0</v>
      </c>
      <c r="BJ20" s="14">
        <f>G20*H20</f>
        <v>0</v>
      </c>
      <c r="BK20" s="14"/>
      <c r="BL20" s="14">
        <v>11</v>
      </c>
      <c r="BW20" s="14">
        <v>21</v>
      </c>
      <c r="BX20" s="4" t="s">
        <v>170</v>
      </c>
    </row>
    <row r="21" spans="1:76" x14ac:dyDescent="0.25">
      <c r="A21" s="60"/>
      <c r="D21" s="61" t="s">
        <v>171</v>
      </c>
      <c r="E21" s="61" t="s">
        <v>18</v>
      </c>
      <c r="G21" s="62">
        <v>0</v>
      </c>
      <c r="K21" s="52"/>
    </row>
    <row r="22" spans="1:76" x14ac:dyDescent="0.25">
      <c r="A22" s="60"/>
      <c r="D22" s="61" t="s">
        <v>172</v>
      </c>
      <c r="E22" s="61" t="s">
        <v>18</v>
      </c>
      <c r="G22" s="62">
        <v>24</v>
      </c>
      <c r="K22" s="52"/>
    </row>
    <row r="23" spans="1:76" x14ac:dyDescent="0.25">
      <c r="A23" s="60"/>
      <c r="D23" s="61" t="s">
        <v>173</v>
      </c>
      <c r="E23" s="61" t="s">
        <v>18</v>
      </c>
      <c r="G23" s="62">
        <v>0</v>
      </c>
      <c r="K23" s="52"/>
    </row>
    <row r="24" spans="1:76" x14ac:dyDescent="0.25">
      <c r="A24" s="60"/>
      <c r="D24" s="61" t="s">
        <v>174</v>
      </c>
      <c r="E24" s="61" t="s">
        <v>18</v>
      </c>
      <c r="G24" s="62">
        <v>7.5</v>
      </c>
      <c r="K24" s="52"/>
    </row>
    <row r="25" spans="1:76" x14ac:dyDescent="0.25">
      <c r="A25" s="60"/>
      <c r="D25" s="61" t="s">
        <v>175</v>
      </c>
      <c r="E25" s="61" t="s">
        <v>18</v>
      </c>
      <c r="G25" s="62">
        <v>0</v>
      </c>
      <c r="K25" s="52"/>
    </row>
    <row r="26" spans="1:76" x14ac:dyDescent="0.25">
      <c r="A26" s="60"/>
      <c r="D26" s="61" t="s">
        <v>176</v>
      </c>
      <c r="E26" s="61" t="s">
        <v>18</v>
      </c>
      <c r="G26" s="62">
        <v>128.52000000000001</v>
      </c>
      <c r="K26" s="52"/>
    </row>
    <row r="27" spans="1:76" x14ac:dyDescent="0.25">
      <c r="A27" s="1" t="s">
        <v>177</v>
      </c>
      <c r="B27" s="2" t="s">
        <v>18</v>
      </c>
      <c r="C27" s="2" t="s">
        <v>178</v>
      </c>
      <c r="D27" s="74" t="s">
        <v>179</v>
      </c>
      <c r="E27" s="69"/>
      <c r="F27" s="2" t="s">
        <v>164</v>
      </c>
      <c r="G27" s="14">
        <v>152.52000000000001</v>
      </c>
      <c r="H27" s="14">
        <v>0</v>
      </c>
      <c r="I27" s="14">
        <f>G27*H27</f>
        <v>0</v>
      </c>
      <c r="K27" s="52"/>
      <c r="Z27" s="14">
        <f>IF(AQ27="5",BJ27,0)</f>
        <v>0</v>
      </c>
      <c r="AB27" s="14">
        <f>IF(AQ27="1",BH27,0)</f>
        <v>0</v>
      </c>
      <c r="AC27" s="14">
        <f>IF(AQ27="1",BI27,0)</f>
        <v>0</v>
      </c>
      <c r="AD27" s="14">
        <f>IF(AQ27="7",BH27,0)</f>
        <v>0</v>
      </c>
      <c r="AE27" s="14">
        <f>IF(AQ27="7",BI27,0)</f>
        <v>0</v>
      </c>
      <c r="AF27" s="14">
        <f>IF(AQ27="2",BH27,0)</f>
        <v>0</v>
      </c>
      <c r="AG27" s="14">
        <f>IF(AQ27="2",BI27,0)</f>
        <v>0</v>
      </c>
      <c r="AH27" s="14">
        <f>IF(AQ27="0",BJ27,0)</f>
        <v>0</v>
      </c>
      <c r="AI27" s="46" t="s">
        <v>18</v>
      </c>
      <c r="AJ27" s="14">
        <f>IF(AN27=0,I27,0)</f>
        <v>0</v>
      </c>
      <c r="AK27" s="14">
        <f>IF(AN27=12,I27,0)</f>
        <v>0</v>
      </c>
      <c r="AL27" s="14">
        <f>IF(AN27=21,I27,0)</f>
        <v>0</v>
      </c>
      <c r="AN27" s="14">
        <v>21</v>
      </c>
      <c r="AO27" s="14">
        <f>H27*0</f>
        <v>0</v>
      </c>
      <c r="AP27" s="14">
        <f>H27*(1-0)</f>
        <v>0</v>
      </c>
      <c r="AQ27" s="13" t="s">
        <v>145</v>
      </c>
      <c r="AV27" s="14">
        <f>AW27+AX27</f>
        <v>0</v>
      </c>
      <c r="AW27" s="14">
        <f>G27*AO27</f>
        <v>0</v>
      </c>
      <c r="AX27" s="14">
        <f>G27*AP27</f>
        <v>0</v>
      </c>
      <c r="AY27" s="13" t="s">
        <v>165</v>
      </c>
      <c r="AZ27" s="13" t="s">
        <v>166</v>
      </c>
      <c r="BA27" s="46" t="s">
        <v>151</v>
      </c>
      <c r="BC27" s="14">
        <f>AW27+AX27</f>
        <v>0</v>
      </c>
      <c r="BD27" s="14">
        <f>H27/(100-BE27)*100</f>
        <v>0</v>
      </c>
      <c r="BE27" s="14">
        <v>0</v>
      </c>
      <c r="BF27" s="14">
        <f>27</f>
        <v>27</v>
      </c>
      <c r="BH27" s="14">
        <f>G27*AO27</f>
        <v>0</v>
      </c>
      <c r="BI27" s="14">
        <f>G27*AP27</f>
        <v>0</v>
      </c>
      <c r="BJ27" s="14">
        <f>G27*H27</f>
        <v>0</v>
      </c>
      <c r="BK27" s="14"/>
      <c r="BL27" s="14">
        <v>11</v>
      </c>
      <c r="BW27" s="14">
        <v>21</v>
      </c>
      <c r="BX27" s="4" t="s">
        <v>179</v>
      </c>
    </row>
    <row r="28" spans="1:76" x14ac:dyDescent="0.25">
      <c r="A28" s="60"/>
      <c r="D28" s="61" t="s">
        <v>171</v>
      </c>
      <c r="E28" s="61" t="s">
        <v>18</v>
      </c>
      <c r="G28" s="62">
        <v>0</v>
      </c>
      <c r="K28" s="52"/>
    </row>
    <row r="29" spans="1:76" x14ac:dyDescent="0.25">
      <c r="A29" s="60"/>
      <c r="D29" s="61" t="s">
        <v>172</v>
      </c>
      <c r="E29" s="61" t="s">
        <v>18</v>
      </c>
      <c r="G29" s="62">
        <v>24</v>
      </c>
      <c r="K29" s="52"/>
    </row>
    <row r="30" spans="1:76" x14ac:dyDescent="0.25">
      <c r="A30" s="60"/>
      <c r="D30" s="61" t="s">
        <v>175</v>
      </c>
      <c r="E30" s="61" t="s">
        <v>18</v>
      </c>
      <c r="G30" s="62">
        <v>0</v>
      </c>
      <c r="K30" s="52"/>
    </row>
    <row r="31" spans="1:76" x14ac:dyDescent="0.25">
      <c r="A31" s="60"/>
      <c r="D31" s="61" t="s">
        <v>176</v>
      </c>
      <c r="E31" s="61" t="s">
        <v>18</v>
      </c>
      <c r="G31" s="62">
        <v>128.52000000000001</v>
      </c>
      <c r="K31" s="52"/>
    </row>
    <row r="32" spans="1:76" x14ac:dyDescent="0.25">
      <c r="A32" s="1" t="s">
        <v>180</v>
      </c>
      <c r="B32" s="2" t="s">
        <v>18</v>
      </c>
      <c r="C32" s="2" t="s">
        <v>181</v>
      </c>
      <c r="D32" s="74" t="s">
        <v>182</v>
      </c>
      <c r="E32" s="69"/>
      <c r="F32" s="2" t="s">
        <v>183</v>
      </c>
      <c r="G32" s="14">
        <v>64.849999999999994</v>
      </c>
      <c r="H32" s="14">
        <v>0</v>
      </c>
      <c r="I32" s="14">
        <f>G32*H32</f>
        <v>0</v>
      </c>
      <c r="K32" s="52"/>
      <c r="Z32" s="14">
        <f>IF(AQ32="5",BJ32,0)</f>
        <v>0</v>
      </c>
      <c r="AB32" s="14">
        <f>IF(AQ32="1",BH32,0)</f>
        <v>0</v>
      </c>
      <c r="AC32" s="14">
        <f>IF(AQ32="1",BI32,0)</f>
        <v>0</v>
      </c>
      <c r="AD32" s="14">
        <f>IF(AQ32="7",BH32,0)</f>
        <v>0</v>
      </c>
      <c r="AE32" s="14">
        <f>IF(AQ32="7",BI32,0)</f>
        <v>0</v>
      </c>
      <c r="AF32" s="14">
        <f>IF(AQ32="2",BH32,0)</f>
        <v>0</v>
      </c>
      <c r="AG32" s="14">
        <f>IF(AQ32="2",BI32,0)</f>
        <v>0</v>
      </c>
      <c r="AH32" s="14">
        <f>IF(AQ32="0",BJ32,0)</f>
        <v>0</v>
      </c>
      <c r="AI32" s="46" t="s">
        <v>18</v>
      </c>
      <c r="AJ32" s="14">
        <f>IF(AN32=0,I32,0)</f>
        <v>0</v>
      </c>
      <c r="AK32" s="14">
        <f>IF(AN32=12,I32,0)</f>
        <v>0</v>
      </c>
      <c r="AL32" s="14">
        <f>IF(AN32=21,I32,0)</f>
        <v>0</v>
      </c>
      <c r="AN32" s="14">
        <v>21</v>
      </c>
      <c r="AO32" s="14">
        <f>H32*0</f>
        <v>0</v>
      </c>
      <c r="AP32" s="14">
        <f>H32*(1-0)</f>
        <v>0</v>
      </c>
      <c r="AQ32" s="13" t="s">
        <v>145</v>
      </c>
      <c r="AV32" s="14">
        <f>AW32+AX32</f>
        <v>0</v>
      </c>
      <c r="AW32" s="14">
        <f>G32*AO32</f>
        <v>0</v>
      </c>
      <c r="AX32" s="14">
        <f>G32*AP32</f>
        <v>0</v>
      </c>
      <c r="AY32" s="13" t="s">
        <v>165</v>
      </c>
      <c r="AZ32" s="13" t="s">
        <v>166</v>
      </c>
      <c r="BA32" s="46" t="s">
        <v>151</v>
      </c>
      <c r="BC32" s="14">
        <f>AW32+AX32</f>
        <v>0</v>
      </c>
      <c r="BD32" s="14">
        <f>H32/(100-BE32)*100</f>
        <v>0</v>
      </c>
      <c r="BE32" s="14">
        <v>0</v>
      </c>
      <c r="BF32" s="14">
        <f>32</f>
        <v>32</v>
      </c>
      <c r="BH32" s="14">
        <f>G32*AO32</f>
        <v>0</v>
      </c>
      <c r="BI32" s="14">
        <f>G32*AP32</f>
        <v>0</v>
      </c>
      <c r="BJ32" s="14">
        <f>G32*H32</f>
        <v>0</v>
      </c>
      <c r="BK32" s="14"/>
      <c r="BL32" s="14">
        <v>11</v>
      </c>
      <c r="BW32" s="14">
        <v>21</v>
      </c>
      <c r="BX32" s="4" t="s">
        <v>182</v>
      </c>
    </row>
    <row r="33" spans="1:76" x14ac:dyDescent="0.25">
      <c r="A33" s="60"/>
      <c r="D33" s="61" t="s">
        <v>184</v>
      </c>
      <c r="E33" s="61" t="s">
        <v>18</v>
      </c>
      <c r="G33" s="62">
        <v>37</v>
      </c>
      <c r="K33" s="52"/>
    </row>
    <row r="34" spans="1:76" x14ac:dyDescent="0.25">
      <c r="A34" s="60"/>
      <c r="D34" s="61" t="s">
        <v>185</v>
      </c>
      <c r="E34" s="61" t="s">
        <v>18</v>
      </c>
      <c r="G34" s="62">
        <v>27.85</v>
      </c>
      <c r="K34" s="52"/>
    </row>
    <row r="35" spans="1:76" x14ac:dyDescent="0.25">
      <c r="A35" s="1" t="s">
        <v>186</v>
      </c>
      <c r="B35" s="2" t="s">
        <v>18</v>
      </c>
      <c r="C35" s="2" t="s">
        <v>187</v>
      </c>
      <c r="D35" s="74" t="s">
        <v>188</v>
      </c>
      <c r="E35" s="69"/>
      <c r="F35" s="2" t="s">
        <v>183</v>
      </c>
      <c r="G35" s="14">
        <v>13.5</v>
      </c>
      <c r="H35" s="14">
        <v>0</v>
      </c>
      <c r="I35" s="14">
        <f>G35*H35</f>
        <v>0</v>
      </c>
      <c r="K35" s="52"/>
      <c r="Z35" s="14">
        <f>IF(AQ35="5",BJ35,0)</f>
        <v>0</v>
      </c>
      <c r="AB35" s="14">
        <f>IF(AQ35="1",BH35,0)</f>
        <v>0</v>
      </c>
      <c r="AC35" s="14">
        <f>IF(AQ35="1",BI35,0)</f>
        <v>0</v>
      </c>
      <c r="AD35" s="14">
        <f>IF(AQ35="7",BH35,0)</f>
        <v>0</v>
      </c>
      <c r="AE35" s="14">
        <f>IF(AQ35="7",BI35,0)</f>
        <v>0</v>
      </c>
      <c r="AF35" s="14">
        <f>IF(AQ35="2",BH35,0)</f>
        <v>0</v>
      </c>
      <c r="AG35" s="14">
        <f>IF(AQ35="2",BI35,0)</f>
        <v>0</v>
      </c>
      <c r="AH35" s="14">
        <f>IF(AQ35="0",BJ35,0)</f>
        <v>0</v>
      </c>
      <c r="AI35" s="46" t="s">
        <v>18</v>
      </c>
      <c r="AJ35" s="14">
        <f>IF(AN35=0,I35,0)</f>
        <v>0</v>
      </c>
      <c r="AK35" s="14">
        <f>IF(AN35=12,I35,0)</f>
        <v>0</v>
      </c>
      <c r="AL35" s="14">
        <f>IF(AN35=21,I35,0)</f>
        <v>0</v>
      </c>
      <c r="AN35" s="14">
        <v>21</v>
      </c>
      <c r="AO35" s="14">
        <f>H35*0</f>
        <v>0</v>
      </c>
      <c r="AP35" s="14">
        <f>H35*(1-0)</f>
        <v>0</v>
      </c>
      <c r="AQ35" s="13" t="s">
        <v>145</v>
      </c>
      <c r="AV35" s="14">
        <f>AW35+AX35</f>
        <v>0</v>
      </c>
      <c r="AW35" s="14">
        <f>G35*AO35</f>
        <v>0</v>
      </c>
      <c r="AX35" s="14">
        <f>G35*AP35</f>
        <v>0</v>
      </c>
      <c r="AY35" s="13" t="s">
        <v>165</v>
      </c>
      <c r="AZ35" s="13" t="s">
        <v>166</v>
      </c>
      <c r="BA35" s="46" t="s">
        <v>151</v>
      </c>
      <c r="BC35" s="14">
        <f>AW35+AX35</f>
        <v>0</v>
      </c>
      <c r="BD35" s="14">
        <f>H35/(100-BE35)*100</f>
        <v>0</v>
      </c>
      <c r="BE35" s="14">
        <v>0</v>
      </c>
      <c r="BF35" s="14">
        <f>35</f>
        <v>35</v>
      </c>
      <c r="BH35" s="14">
        <f>G35*AO35</f>
        <v>0</v>
      </c>
      <c r="BI35" s="14">
        <f>G35*AP35</f>
        <v>0</v>
      </c>
      <c r="BJ35" s="14">
        <f>G35*H35</f>
        <v>0</v>
      </c>
      <c r="BK35" s="14"/>
      <c r="BL35" s="14">
        <v>11</v>
      </c>
      <c r="BW35" s="14">
        <v>21</v>
      </c>
      <c r="BX35" s="4" t="s">
        <v>188</v>
      </c>
    </row>
    <row r="36" spans="1:76" x14ac:dyDescent="0.25">
      <c r="A36" s="57" t="s">
        <v>18</v>
      </c>
      <c r="B36" s="58" t="s">
        <v>18</v>
      </c>
      <c r="C36" s="58" t="s">
        <v>24</v>
      </c>
      <c r="D36" s="144" t="s">
        <v>25</v>
      </c>
      <c r="E36" s="145"/>
      <c r="F36" s="59" t="s">
        <v>3</v>
      </c>
      <c r="G36" s="59" t="s">
        <v>3</v>
      </c>
      <c r="H36" s="59" t="s">
        <v>3</v>
      </c>
      <c r="I36" s="39">
        <f>SUM(I37:I47)</f>
        <v>0</v>
      </c>
      <c r="K36" s="52"/>
      <c r="AI36" s="46" t="s">
        <v>18</v>
      </c>
      <c r="AS36" s="39">
        <f>SUM(AJ37:AJ47)</f>
        <v>0</v>
      </c>
      <c r="AT36" s="39">
        <f>SUM(AK37:AK47)</f>
        <v>0</v>
      </c>
      <c r="AU36" s="39">
        <f>SUM(AL37:AL47)</f>
        <v>0</v>
      </c>
    </row>
    <row r="37" spans="1:76" x14ac:dyDescent="0.25">
      <c r="A37" s="1" t="s">
        <v>189</v>
      </c>
      <c r="B37" s="2" t="s">
        <v>18</v>
      </c>
      <c r="C37" s="2" t="s">
        <v>190</v>
      </c>
      <c r="D37" s="74" t="s">
        <v>191</v>
      </c>
      <c r="E37" s="69"/>
      <c r="F37" s="2" t="s">
        <v>192</v>
      </c>
      <c r="G37" s="14">
        <v>54.679000000000002</v>
      </c>
      <c r="H37" s="14">
        <v>0</v>
      </c>
      <c r="I37" s="14">
        <f>G37*H37</f>
        <v>0</v>
      </c>
      <c r="K37" s="52"/>
      <c r="Z37" s="14">
        <f>IF(AQ37="5",BJ37,0)</f>
        <v>0</v>
      </c>
      <c r="AB37" s="14">
        <f>IF(AQ37="1",BH37,0)</f>
        <v>0</v>
      </c>
      <c r="AC37" s="14">
        <f>IF(AQ37="1",BI37,0)</f>
        <v>0</v>
      </c>
      <c r="AD37" s="14">
        <f>IF(AQ37="7",BH37,0)</f>
        <v>0</v>
      </c>
      <c r="AE37" s="14">
        <f>IF(AQ37="7",BI37,0)</f>
        <v>0</v>
      </c>
      <c r="AF37" s="14">
        <f>IF(AQ37="2",BH37,0)</f>
        <v>0</v>
      </c>
      <c r="AG37" s="14">
        <f>IF(AQ37="2",BI37,0)</f>
        <v>0</v>
      </c>
      <c r="AH37" s="14">
        <f>IF(AQ37="0",BJ37,0)</f>
        <v>0</v>
      </c>
      <c r="AI37" s="46" t="s">
        <v>18</v>
      </c>
      <c r="AJ37" s="14">
        <f>IF(AN37=0,I37,0)</f>
        <v>0</v>
      </c>
      <c r="AK37" s="14">
        <f>IF(AN37=12,I37,0)</f>
        <v>0</v>
      </c>
      <c r="AL37" s="14">
        <f>IF(AN37=21,I37,0)</f>
        <v>0</v>
      </c>
      <c r="AN37" s="14">
        <v>21</v>
      </c>
      <c r="AO37" s="14">
        <f>H37*0</f>
        <v>0</v>
      </c>
      <c r="AP37" s="14">
        <f>H37*(1-0)</f>
        <v>0</v>
      </c>
      <c r="AQ37" s="13" t="s">
        <v>145</v>
      </c>
      <c r="AV37" s="14">
        <f>AW37+AX37</f>
        <v>0</v>
      </c>
      <c r="AW37" s="14">
        <f>G37*AO37</f>
        <v>0</v>
      </c>
      <c r="AX37" s="14">
        <f>G37*AP37</f>
        <v>0</v>
      </c>
      <c r="AY37" s="13" t="s">
        <v>193</v>
      </c>
      <c r="AZ37" s="13" t="s">
        <v>166</v>
      </c>
      <c r="BA37" s="46" t="s">
        <v>151</v>
      </c>
      <c r="BC37" s="14">
        <f>AW37+AX37</f>
        <v>0</v>
      </c>
      <c r="BD37" s="14">
        <f>H37/(100-BE37)*100</f>
        <v>0</v>
      </c>
      <c r="BE37" s="14">
        <v>0</v>
      </c>
      <c r="BF37" s="14">
        <f>37</f>
        <v>37</v>
      </c>
      <c r="BH37" s="14">
        <f>G37*AO37</f>
        <v>0</v>
      </c>
      <c r="BI37" s="14">
        <f>G37*AP37</f>
        <v>0</v>
      </c>
      <c r="BJ37" s="14">
        <f>G37*H37</f>
        <v>0</v>
      </c>
      <c r="BK37" s="14"/>
      <c r="BL37" s="14">
        <v>12</v>
      </c>
      <c r="BW37" s="14">
        <v>21</v>
      </c>
      <c r="BX37" s="4" t="s">
        <v>191</v>
      </c>
    </row>
    <row r="38" spans="1:76" x14ac:dyDescent="0.25">
      <c r="A38" s="60"/>
      <c r="D38" s="61" t="s">
        <v>194</v>
      </c>
      <c r="E38" s="61" t="s">
        <v>18</v>
      </c>
      <c r="G38" s="62">
        <v>0</v>
      </c>
      <c r="K38" s="52"/>
    </row>
    <row r="39" spans="1:76" x14ac:dyDescent="0.25">
      <c r="A39" s="60"/>
      <c r="D39" s="61" t="s">
        <v>195</v>
      </c>
      <c r="E39" s="61" t="s">
        <v>18</v>
      </c>
      <c r="G39" s="62">
        <v>8.25</v>
      </c>
      <c r="K39" s="52"/>
    </row>
    <row r="40" spans="1:76" x14ac:dyDescent="0.25">
      <c r="A40" s="60"/>
      <c r="D40" s="61" t="s">
        <v>196</v>
      </c>
      <c r="E40" s="61" t="s">
        <v>18</v>
      </c>
      <c r="G40" s="62">
        <v>1.7549999999999999</v>
      </c>
      <c r="K40" s="52"/>
    </row>
    <row r="41" spans="1:76" x14ac:dyDescent="0.25">
      <c r="A41" s="60"/>
      <c r="D41" s="61" t="s">
        <v>197</v>
      </c>
      <c r="E41" s="61" t="s">
        <v>18</v>
      </c>
      <c r="G41" s="62">
        <v>2.5419999999999998</v>
      </c>
      <c r="K41" s="52"/>
    </row>
    <row r="42" spans="1:76" x14ac:dyDescent="0.25">
      <c r="A42" s="60"/>
      <c r="D42" s="61" t="s">
        <v>198</v>
      </c>
      <c r="E42" s="61" t="s">
        <v>18</v>
      </c>
      <c r="G42" s="62">
        <v>0</v>
      </c>
      <c r="K42" s="52"/>
    </row>
    <row r="43" spans="1:76" x14ac:dyDescent="0.25">
      <c r="A43" s="60"/>
      <c r="D43" s="61" t="s">
        <v>199</v>
      </c>
      <c r="E43" s="61" t="s">
        <v>18</v>
      </c>
      <c r="G43" s="62">
        <v>32.76</v>
      </c>
      <c r="K43" s="52"/>
    </row>
    <row r="44" spans="1:76" x14ac:dyDescent="0.25">
      <c r="A44" s="60"/>
      <c r="D44" s="61" t="s">
        <v>171</v>
      </c>
      <c r="E44" s="61" t="s">
        <v>18</v>
      </c>
      <c r="G44" s="62">
        <v>0</v>
      </c>
      <c r="K44" s="52"/>
    </row>
    <row r="45" spans="1:76" x14ac:dyDescent="0.25">
      <c r="A45" s="60"/>
      <c r="D45" s="61" t="s">
        <v>200</v>
      </c>
      <c r="E45" s="61" t="s">
        <v>18</v>
      </c>
      <c r="G45" s="62">
        <v>5.2320000000000002</v>
      </c>
      <c r="K45" s="52"/>
    </row>
    <row r="46" spans="1:76" x14ac:dyDescent="0.25">
      <c r="A46" s="60"/>
      <c r="D46" s="61" t="s">
        <v>201</v>
      </c>
      <c r="E46" s="61" t="s">
        <v>18</v>
      </c>
      <c r="G46" s="62">
        <v>4.1399999999999997</v>
      </c>
      <c r="K46" s="52"/>
    </row>
    <row r="47" spans="1:76" x14ac:dyDescent="0.25">
      <c r="A47" s="1" t="s">
        <v>22</v>
      </c>
      <c r="B47" s="2" t="s">
        <v>18</v>
      </c>
      <c r="C47" s="2" t="s">
        <v>202</v>
      </c>
      <c r="D47" s="74" t="s">
        <v>203</v>
      </c>
      <c r="E47" s="69"/>
      <c r="F47" s="2" t="s">
        <v>192</v>
      </c>
      <c r="G47" s="14">
        <v>27.34</v>
      </c>
      <c r="H47" s="14">
        <v>0</v>
      </c>
      <c r="I47" s="14">
        <f>G47*H47</f>
        <v>0</v>
      </c>
      <c r="K47" s="52"/>
      <c r="Z47" s="14">
        <f>IF(AQ47="5",BJ47,0)</f>
        <v>0</v>
      </c>
      <c r="AB47" s="14">
        <f>IF(AQ47="1",BH47,0)</f>
        <v>0</v>
      </c>
      <c r="AC47" s="14">
        <f>IF(AQ47="1",BI47,0)</f>
        <v>0</v>
      </c>
      <c r="AD47" s="14">
        <f>IF(AQ47="7",BH47,0)</f>
        <v>0</v>
      </c>
      <c r="AE47" s="14">
        <f>IF(AQ47="7",BI47,0)</f>
        <v>0</v>
      </c>
      <c r="AF47" s="14">
        <f>IF(AQ47="2",BH47,0)</f>
        <v>0</v>
      </c>
      <c r="AG47" s="14">
        <f>IF(AQ47="2",BI47,0)</f>
        <v>0</v>
      </c>
      <c r="AH47" s="14">
        <f>IF(AQ47="0",BJ47,0)</f>
        <v>0</v>
      </c>
      <c r="AI47" s="46" t="s">
        <v>18</v>
      </c>
      <c r="AJ47" s="14">
        <f>IF(AN47=0,I47,0)</f>
        <v>0</v>
      </c>
      <c r="AK47" s="14">
        <f>IF(AN47=12,I47,0)</f>
        <v>0</v>
      </c>
      <c r="AL47" s="14">
        <f>IF(AN47=21,I47,0)</f>
        <v>0</v>
      </c>
      <c r="AN47" s="14">
        <v>21</v>
      </c>
      <c r="AO47" s="14">
        <f>H47*0</f>
        <v>0</v>
      </c>
      <c r="AP47" s="14">
        <f>H47*(1-0)</f>
        <v>0</v>
      </c>
      <c r="AQ47" s="13" t="s">
        <v>145</v>
      </c>
      <c r="AV47" s="14">
        <f>AW47+AX47</f>
        <v>0</v>
      </c>
      <c r="AW47" s="14">
        <f>G47*AO47</f>
        <v>0</v>
      </c>
      <c r="AX47" s="14">
        <f>G47*AP47</f>
        <v>0</v>
      </c>
      <c r="AY47" s="13" t="s">
        <v>193</v>
      </c>
      <c r="AZ47" s="13" t="s">
        <v>166</v>
      </c>
      <c r="BA47" s="46" t="s">
        <v>151</v>
      </c>
      <c r="BC47" s="14">
        <f>AW47+AX47</f>
        <v>0</v>
      </c>
      <c r="BD47" s="14">
        <f>H47/(100-BE47)*100</f>
        <v>0</v>
      </c>
      <c r="BE47" s="14">
        <v>0</v>
      </c>
      <c r="BF47" s="14">
        <f>47</f>
        <v>47</v>
      </c>
      <c r="BH47" s="14">
        <f>G47*AO47</f>
        <v>0</v>
      </c>
      <c r="BI47" s="14">
        <f>G47*AP47</f>
        <v>0</v>
      </c>
      <c r="BJ47" s="14">
        <f>G47*H47</f>
        <v>0</v>
      </c>
      <c r="BK47" s="14"/>
      <c r="BL47" s="14">
        <v>12</v>
      </c>
      <c r="BW47" s="14">
        <v>21</v>
      </c>
      <c r="BX47" s="4" t="s">
        <v>203</v>
      </c>
    </row>
    <row r="48" spans="1:76" x14ac:dyDescent="0.25">
      <c r="A48" s="60"/>
      <c r="D48" s="61" t="s">
        <v>204</v>
      </c>
      <c r="E48" s="61" t="s">
        <v>18</v>
      </c>
      <c r="G48" s="62">
        <v>27.34</v>
      </c>
      <c r="K48" s="52"/>
    </row>
    <row r="49" spans="1:76" x14ac:dyDescent="0.25">
      <c r="A49" s="57" t="s">
        <v>18</v>
      </c>
      <c r="B49" s="58" t="s">
        <v>18</v>
      </c>
      <c r="C49" s="58" t="s">
        <v>26</v>
      </c>
      <c r="D49" s="144" t="s">
        <v>27</v>
      </c>
      <c r="E49" s="145"/>
      <c r="F49" s="59" t="s">
        <v>3</v>
      </c>
      <c r="G49" s="59" t="s">
        <v>3</v>
      </c>
      <c r="H49" s="59" t="s">
        <v>3</v>
      </c>
      <c r="I49" s="39">
        <f>SUM(I50:I51)</f>
        <v>0</v>
      </c>
      <c r="K49" s="52"/>
      <c r="AI49" s="46" t="s">
        <v>18</v>
      </c>
      <c r="AS49" s="39">
        <f>SUM(AJ50:AJ51)</f>
        <v>0</v>
      </c>
      <c r="AT49" s="39">
        <f>SUM(AK50:AK51)</f>
        <v>0</v>
      </c>
      <c r="AU49" s="39">
        <f>SUM(AL50:AL51)</f>
        <v>0</v>
      </c>
    </row>
    <row r="50" spans="1:76" x14ac:dyDescent="0.25">
      <c r="A50" s="1" t="s">
        <v>24</v>
      </c>
      <c r="B50" s="2" t="s">
        <v>18</v>
      </c>
      <c r="C50" s="2" t="s">
        <v>205</v>
      </c>
      <c r="D50" s="74" t="s">
        <v>206</v>
      </c>
      <c r="E50" s="69"/>
      <c r="F50" s="2" t="s">
        <v>192</v>
      </c>
      <c r="G50" s="14">
        <v>54.679000000000002</v>
      </c>
      <c r="H50" s="14">
        <v>0</v>
      </c>
      <c r="I50" s="14">
        <f>G50*H50</f>
        <v>0</v>
      </c>
      <c r="K50" s="52"/>
      <c r="Z50" s="14">
        <f>IF(AQ50="5",BJ50,0)</f>
        <v>0</v>
      </c>
      <c r="AB50" s="14">
        <f>IF(AQ50="1",BH50,0)</f>
        <v>0</v>
      </c>
      <c r="AC50" s="14">
        <f>IF(AQ50="1",BI50,0)</f>
        <v>0</v>
      </c>
      <c r="AD50" s="14">
        <f>IF(AQ50="7",BH50,0)</f>
        <v>0</v>
      </c>
      <c r="AE50" s="14">
        <f>IF(AQ50="7",BI50,0)</f>
        <v>0</v>
      </c>
      <c r="AF50" s="14">
        <f>IF(AQ50="2",BH50,0)</f>
        <v>0</v>
      </c>
      <c r="AG50" s="14">
        <f>IF(AQ50="2",BI50,0)</f>
        <v>0</v>
      </c>
      <c r="AH50" s="14">
        <f>IF(AQ50="0",BJ50,0)</f>
        <v>0</v>
      </c>
      <c r="AI50" s="46" t="s">
        <v>18</v>
      </c>
      <c r="AJ50" s="14">
        <f>IF(AN50=0,I50,0)</f>
        <v>0</v>
      </c>
      <c r="AK50" s="14">
        <f>IF(AN50=12,I50,0)</f>
        <v>0</v>
      </c>
      <c r="AL50" s="14">
        <f>IF(AN50=21,I50,0)</f>
        <v>0</v>
      </c>
      <c r="AN50" s="14">
        <v>21</v>
      </c>
      <c r="AO50" s="14">
        <f>H50*0</f>
        <v>0</v>
      </c>
      <c r="AP50" s="14">
        <f>H50*(1-0)</f>
        <v>0</v>
      </c>
      <c r="AQ50" s="13" t="s">
        <v>145</v>
      </c>
      <c r="AV50" s="14">
        <f>AW50+AX50</f>
        <v>0</v>
      </c>
      <c r="AW50" s="14">
        <f>G50*AO50</f>
        <v>0</v>
      </c>
      <c r="AX50" s="14">
        <f>G50*AP50</f>
        <v>0</v>
      </c>
      <c r="AY50" s="13" t="s">
        <v>207</v>
      </c>
      <c r="AZ50" s="13" t="s">
        <v>166</v>
      </c>
      <c r="BA50" s="46" t="s">
        <v>151</v>
      </c>
      <c r="BC50" s="14">
        <f>AW50+AX50</f>
        <v>0</v>
      </c>
      <c r="BD50" s="14">
        <f>H50/(100-BE50)*100</f>
        <v>0</v>
      </c>
      <c r="BE50" s="14">
        <v>0</v>
      </c>
      <c r="BF50" s="14">
        <f>50</f>
        <v>50</v>
      </c>
      <c r="BH50" s="14">
        <f>G50*AO50</f>
        <v>0</v>
      </c>
      <c r="BI50" s="14">
        <f>G50*AP50</f>
        <v>0</v>
      </c>
      <c r="BJ50" s="14">
        <f>G50*H50</f>
        <v>0</v>
      </c>
      <c r="BK50" s="14"/>
      <c r="BL50" s="14">
        <v>16</v>
      </c>
      <c r="BW50" s="14">
        <v>21</v>
      </c>
      <c r="BX50" s="4" t="s">
        <v>206</v>
      </c>
    </row>
    <row r="51" spans="1:76" x14ac:dyDescent="0.25">
      <c r="A51" s="1" t="s">
        <v>208</v>
      </c>
      <c r="B51" s="2" t="s">
        <v>18</v>
      </c>
      <c r="C51" s="2" t="s">
        <v>209</v>
      </c>
      <c r="D51" s="74" t="s">
        <v>210</v>
      </c>
      <c r="E51" s="69"/>
      <c r="F51" s="2" t="s">
        <v>192</v>
      </c>
      <c r="G51" s="14">
        <v>328.07400000000001</v>
      </c>
      <c r="H51" s="14">
        <v>0</v>
      </c>
      <c r="I51" s="14">
        <f>G51*H51</f>
        <v>0</v>
      </c>
      <c r="K51" s="52"/>
      <c r="Z51" s="14">
        <f>IF(AQ51="5",BJ51,0)</f>
        <v>0</v>
      </c>
      <c r="AB51" s="14">
        <f>IF(AQ51="1",BH51,0)</f>
        <v>0</v>
      </c>
      <c r="AC51" s="14">
        <f>IF(AQ51="1",BI51,0)</f>
        <v>0</v>
      </c>
      <c r="AD51" s="14">
        <f>IF(AQ51="7",BH51,0)</f>
        <v>0</v>
      </c>
      <c r="AE51" s="14">
        <f>IF(AQ51="7",BI51,0)</f>
        <v>0</v>
      </c>
      <c r="AF51" s="14">
        <f>IF(AQ51="2",BH51,0)</f>
        <v>0</v>
      </c>
      <c r="AG51" s="14">
        <f>IF(AQ51="2",BI51,0)</f>
        <v>0</v>
      </c>
      <c r="AH51" s="14">
        <f>IF(AQ51="0",BJ51,0)</f>
        <v>0</v>
      </c>
      <c r="AI51" s="46" t="s">
        <v>18</v>
      </c>
      <c r="AJ51" s="14">
        <f>IF(AN51=0,I51,0)</f>
        <v>0</v>
      </c>
      <c r="AK51" s="14">
        <f>IF(AN51=12,I51,0)</f>
        <v>0</v>
      </c>
      <c r="AL51" s="14">
        <f>IF(AN51=21,I51,0)</f>
        <v>0</v>
      </c>
      <c r="AN51" s="14">
        <v>21</v>
      </c>
      <c r="AO51" s="14">
        <f>H51*0</f>
        <v>0</v>
      </c>
      <c r="AP51" s="14">
        <f>H51*(1-0)</f>
        <v>0</v>
      </c>
      <c r="AQ51" s="13" t="s">
        <v>145</v>
      </c>
      <c r="AV51" s="14">
        <f>AW51+AX51</f>
        <v>0</v>
      </c>
      <c r="AW51" s="14">
        <f>G51*AO51</f>
        <v>0</v>
      </c>
      <c r="AX51" s="14">
        <f>G51*AP51</f>
        <v>0</v>
      </c>
      <c r="AY51" s="13" t="s">
        <v>207</v>
      </c>
      <c r="AZ51" s="13" t="s">
        <v>166</v>
      </c>
      <c r="BA51" s="46" t="s">
        <v>151</v>
      </c>
      <c r="BC51" s="14">
        <f>AW51+AX51</f>
        <v>0</v>
      </c>
      <c r="BD51" s="14">
        <f>H51/(100-BE51)*100</f>
        <v>0</v>
      </c>
      <c r="BE51" s="14">
        <v>0</v>
      </c>
      <c r="BF51" s="14">
        <f>51</f>
        <v>51</v>
      </c>
      <c r="BH51" s="14">
        <f>G51*AO51</f>
        <v>0</v>
      </c>
      <c r="BI51" s="14">
        <f>G51*AP51</f>
        <v>0</v>
      </c>
      <c r="BJ51" s="14">
        <f>G51*H51</f>
        <v>0</v>
      </c>
      <c r="BK51" s="14"/>
      <c r="BL51" s="14">
        <v>16</v>
      </c>
      <c r="BW51" s="14">
        <v>21</v>
      </c>
      <c r="BX51" s="4" t="s">
        <v>210</v>
      </c>
    </row>
    <row r="52" spans="1:76" x14ac:dyDescent="0.25">
      <c r="A52" s="60"/>
      <c r="D52" s="61" t="s">
        <v>211</v>
      </c>
      <c r="E52" s="61" t="s">
        <v>18</v>
      </c>
      <c r="G52" s="62">
        <v>328.07400000000001</v>
      </c>
      <c r="K52" s="52"/>
    </row>
    <row r="53" spans="1:76" x14ac:dyDescent="0.25">
      <c r="A53" s="57" t="s">
        <v>18</v>
      </c>
      <c r="B53" s="58" t="s">
        <v>18</v>
      </c>
      <c r="C53" s="58" t="s">
        <v>28</v>
      </c>
      <c r="D53" s="144" t="s">
        <v>29</v>
      </c>
      <c r="E53" s="145"/>
      <c r="F53" s="59" t="s">
        <v>3</v>
      </c>
      <c r="G53" s="59" t="s">
        <v>3</v>
      </c>
      <c r="H53" s="59" t="s">
        <v>3</v>
      </c>
      <c r="I53" s="39">
        <f>SUM(I54:I54)</f>
        <v>0</v>
      </c>
      <c r="K53" s="52"/>
      <c r="AI53" s="46" t="s">
        <v>18</v>
      </c>
      <c r="AS53" s="39">
        <f>SUM(AJ54:AJ54)</f>
        <v>0</v>
      </c>
      <c r="AT53" s="39">
        <f>SUM(AK54:AK54)</f>
        <v>0</v>
      </c>
      <c r="AU53" s="39">
        <f>SUM(AL54:AL54)</f>
        <v>0</v>
      </c>
    </row>
    <row r="54" spans="1:76" x14ac:dyDescent="0.25">
      <c r="A54" s="1" t="s">
        <v>212</v>
      </c>
      <c r="B54" s="2" t="s">
        <v>18</v>
      </c>
      <c r="C54" s="2" t="s">
        <v>213</v>
      </c>
      <c r="D54" s="74" t="s">
        <v>214</v>
      </c>
      <c r="E54" s="69"/>
      <c r="F54" s="2" t="s">
        <v>164</v>
      </c>
      <c r="G54" s="14">
        <v>163.80000000000001</v>
      </c>
      <c r="H54" s="14">
        <v>0</v>
      </c>
      <c r="I54" s="14">
        <f>G54*H54</f>
        <v>0</v>
      </c>
      <c r="K54" s="52"/>
      <c r="Z54" s="14">
        <f>IF(AQ54="5",BJ54,0)</f>
        <v>0</v>
      </c>
      <c r="AB54" s="14">
        <f>IF(AQ54="1",BH54,0)</f>
        <v>0</v>
      </c>
      <c r="AC54" s="14">
        <f>IF(AQ54="1",BI54,0)</f>
        <v>0</v>
      </c>
      <c r="AD54" s="14">
        <f>IF(AQ54="7",BH54,0)</f>
        <v>0</v>
      </c>
      <c r="AE54" s="14">
        <f>IF(AQ54="7",BI54,0)</f>
        <v>0</v>
      </c>
      <c r="AF54" s="14">
        <f>IF(AQ54="2",BH54,0)</f>
        <v>0</v>
      </c>
      <c r="AG54" s="14">
        <f>IF(AQ54="2",BI54,0)</f>
        <v>0</v>
      </c>
      <c r="AH54" s="14">
        <f>IF(AQ54="0",BJ54,0)</f>
        <v>0</v>
      </c>
      <c r="AI54" s="46" t="s">
        <v>18</v>
      </c>
      <c r="AJ54" s="14">
        <f>IF(AN54=0,I54,0)</f>
        <v>0</v>
      </c>
      <c r="AK54" s="14">
        <f>IF(AN54=12,I54,0)</f>
        <v>0</v>
      </c>
      <c r="AL54" s="14">
        <f>IF(AN54=21,I54,0)</f>
        <v>0</v>
      </c>
      <c r="AN54" s="14">
        <v>21</v>
      </c>
      <c r="AO54" s="14">
        <f>H54*0</f>
        <v>0</v>
      </c>
      <c r="AP54" s="14">
        <f>H54*(1-0)</f>
        <v>0</v>
      </c>
      <c r="AQ54" s="13" t="s">
        <v>145</v>
      </c>
      <c r="AV54" s="14">
        <f>AW54+AX54</f>
        <v>0</v>
      </c>
      <c r="AW54" s="14">
        <f>G54*AO54</f>
        <v>0</v>
      </c>
      <c r="AX54" s="14">
        <f>G54*AP54</f>
        <v>0</v>
      </c>
      <c r="AY54" s="13" t="s">
        <v>215</v>
      </c>
      <c r="AZ54" s="13" t="s">
        <v>166</v>
      </c>
      <c r="BA54" s="46" t="s">
        <v>151</v>
      </c>
      <c r="BC54" s="14">
        <f>AW54+AX54</f>
        <v>0</v>
      </c>
      <c r="BD54" s="14">
        <f>H54/(100-BE54)*100</f>
        <v>0</v>
      </c>
      <c r="BE54" s="14">
        <v>0</v>
      </c>
      <c r="BF54" s="14">
        <f>54</f>
        <v>54</v>
      </c>
      <c r="BH54" s="14">
        <f>G54*AO54</f>
        <v>0</v>
      </c>
      <c r="BI54" s="14">
        <f>G54*AP54</f>
        <v>0</v>
      </c>
      <c r="BJ54" s="14">
        <f>G54*H54</f>
        <v>0</v>
      </c>
      <c r="BK54" s="14"/>
      <c r="BL54" s="14">
        <v>18</v>
      </c>
      <c r="BW54" s="14">
        <v>21</v>
      </c>
      <c r="BX54" s="4" t="s">
        <v>214</v>
      </c>
    </row>
    <row r="55" spans="1:76" x14ac:dyDescent="0.25">
      <c r="A55" s="60"/>
      <c r="D55" s="61" t="s">
        <v>216</v>
      </c>
      <c r="E55" s="61" t="s">
        <v>18</v>
      </c>
      <c r="G55" s="62">
        <v>163.80000000000001</v>
      </c>
      <c r="K55" s="52"/>
    </row>
    <row r="56" spans="1:76" x14ac:dyDescent="0.25">
      <c r="A56" s="57" t="s">
        <v>18</v>
      </c>
      <c r="B56" s="58" t="s">
        <v>18</v>
      </c>
      <c r="C56" s="58" t="s">
        <v>30</v>
      </c>
      <c r="D56" s="144" t="s">
        <v>31</v>
      </c>
      <c r="E56" s="145"/>
      <c r="F56" s="59" t="s">
        <v>3</v>
      </c>
      <c r="G56" s="59" t="s">
        <v>3</v>
      </c>
      <c r="H56" s="59" t="s">
        <v>3</v>
      </c>
      <c r="I56" s="39">
        <f>SUM(I57:I57)</f>
        <v>0</v>
      </c>
      <c r="K56" s="52"/>
      <c r="AI56" s="46" t="s">
        <v>18</v>
      </c>
      <c r="AS56" s="39">
        <f>SUM(AJ57:AJ57)</f>
        <v>0</v>
      </c>
      <c r="AT56" s="39">
        <f>SUM(AK57:AK57)</f>
        <v>0</v>
      </c>
      <c r="AU56" s="39">
        <f>SUM(AL57:AL57)</f>
        <v>0</v>
      </c>
    </row>
    <row r="57" spans="1:76" x14ac:dyDescent="0.25">
      <c r="A57" s="1" t="s">
        <v>217</v>
      </c>
      <c r="B57" s="2" t="s">
        <v>18</v>
      </c>
      <c r="C57" s="2" t="s">
        <v>218</v>
      </c>
      <c r="D57" s="74" t="s">
        <v>219</v>
      </c>
      <c r="E57" s="69"/>
      <c r="F57" s="2" t="s">
        <v>192</v>
      </c>
      <c r="G57" s="14">
        <v>54.679000000000002</v>
      </c>
      <c r="H57" s="14">
        <v>0</v>
      </c>
      <c r="I57" s="14">
        <f>G57*H57</f>
        <v>0</v>
      </c>
      <c r="K57" s="52"/>
      <c r="Z57" s="14">
        <f>IF(AQ57="5",BJ57,0)</f>
        <v>0</v>
      </c>
      <c r="AB57" s="14">
        <f>IF(AQ57="1",BH57,0)</f>
        <v>0</v>
      </c>
      <c r="AC57" s="14">
        <f>IF(AQ57="1",BI57,0)</f>
        <v>0</v>
      </c>
      <c r="AD57" s="14">
        <f>IF(AQ57="7",BH57,0)</f>
        <v>0</v>
      </c>
      <c r="AE57" s="14">
        <f>IF(AQ57="7",BI57,0)</f>
        <v>0</v>
      </c>
      <c r="AF57" s="14">
        <f>IF(AQ57="2",BH57,0)</f>
        <v>0</v>
      </c>
      <c r="AG57" s="14">
        <f>IF(AQ57="2",BI57,0)</f>
        <v>0</v>
      </c>
      <c r="AH57" s="14">
        <f>IF(AQ57="0",BJ57,0)</f>
        <v>0</v>
      </c>
      <c r="AI57" s="46" t="s">
        <v>18</v>
      </c>
      <c r="AJ57" s="14">
        <f>IF(AN57=0,I57,0)</f>
        <v>0</v>
      </c>
      <c r="AK57" s="14">
        <f>IF(AN57=12,I57,0)</f>
        <v>0</v>
      </c>
      <c r="AL57" s="14">
        <f>IF(AN57=21,I57,0)</f>
        <v>0</v>
      </c>
      <c r="AN57" s="14">
        <v>21</v>
      </c>
      <c r="AO57" s="14">
        <f>H57*0</f>
        <v>0</v>
      </c>
      <c r="AP57" s="14">
        <f>H57*(1-0)</f>
        <v>0</v>
      </c>
      <c r="AQ57" s="13" t="s">
        <v>145</v>
      </c>
      <c r="AV57" s="14">
        <f>AW57+AX57</f>
        <v>0</v>
      </c>
      <c r="AW57" s="14">
        <f>G57*AO57</f>
        <v>0</v>
      </c>
      <c r="AX57" s="14">
        <f>G57*AP57</f>
        <v>0</v>
      </c>
      <c r="AY57" s="13" t="s">
        <v>220</v>
      </c>
      <c r="AZ57" s="13" t="s">
        <v>166</v>
      </c>
      <c r="BA57" s="46" t="s">
        <v>151</v>
      </c>
      <c r="BC57" s="14">
        <f>AW57+AX57</f>
        <v>0</v>
      </c>
      <c r="BD57" s="14">
        <f>H57/(100-BE57)*100</f>
        <v>0</v>
      </c>
      <c r="BE57" s="14">
        <v>0</v>
      </c>
      <c r="BF57" s="14">
        <f>57</f>
        <v>57</v>
      </c>
      <c r="BH57" s="14">
        <f>G57*AO57</f>
        <v>0</v>
      </c>
      <c r="BI57" s="14">
        <f>G57*AP57</f>
        <v>0</v>
      </c>
      <c r="BJ57" s="14">
        <f>G57*H57</f>
        <v>0</v>
      </c>
      <c r="BK57" s="14"/>
      <c r="BL57" s="14">
        <v>19</v>
      </c>
      <c r="BW57" s="14">
        <v>21</v>
      </c>
      <c r="BX57" s="4" t="s">
        <v>219</v>
      </c>
    </row>
    <row r="58" spans="1:76" x14ac:dyDescent="0.25">
      <c r="A58" s="57" t="s">
        <v>18</v>
      </c>
      <c r="B58" s="58" t="s">
        <v>18</v>
      </c>
      <c r="C58" s="58" t="s">
        <v>32</v>
      </c>
      <c r="D58" s="144" t="s">
        <v>33</v>
      </c>
      <c r="E58" s="145"/>
      <c r="F58" s="59" t="s">
        <v>3</v>
      </c>
      <c r="G58" s="59" t="s">
        <v>3</v>
      </c>
      <c r="H58" s="59" t="s">
        <v>3</v>
      </c>
      <c r="I58" s="39">
        <f>SUM(I59:I66)</f>
        <v>0</v>
      </c>
      <c r="K58" s="52"/>
      <c r="AI58" s="46" t="s">
        <v>18</v>
      </c>
      <c r="AS58" s="39">
        <f>SUM(AJ59:AJ66)</f>
        <v>0</v>
      </c>
      <c r="AT58" s="39">
        <f>SUM(AK59:AK66)</f>
        <v>0</v>
      </c>
      <c r="AU58" s="39">
        <f>SUM(AL59:AL66)</f>
        <v>0</v>
      </c>
    </row>
    <row r="59" spans="1:76" x14ac:dyDescent="0.25">
      <c r="A59" s="1" t="s">
        <v>26</v>
      </c>
      <c r="B59" s="2" t="s">
        <v>18</v>
      </c>
      <c r="C59" s="2" t="s">
        <v>221</v>
      </c>
      <c r="D59" s="74" t="s">
        <v>222</v>
      </c>
      <c r="E59" s="69"/>
      <c r="F59" s="2" t="s">
        <v>223</v>
      </c>
      <c r="G59" s="14">
        <v>2.1999999999999999E-2</v>
      </c>
      <c r="H59" s="14">
        <v>0</v>
      </c>
      <c r="I59" s="14">
        <f>G59*H59</f>
        <v>0</v>
      </c>
      <c r="K59" s="52"/>
      <c r="Z59" s="14">
        <f>IF(AQ59="5",BJ59,0)</f>
        <v>0</v>
      </c>
      <c r="AB59" s="14">
        <f>IF(AQ59="1",BH59,0)</f>
        <v>0</v>
      </c>
      <c r="AC59" s="14">
        <f>IF(AQ59="1",BI59,0)</f>
        <v>0</v>
      </c>
      <c r="AD59" s="14">
        <f>IF(AQ59="7",BH59,0)</f>
        <v>0</v>
      </c>
      <c r="AE59" s="14">
        <f>IF(AQ59="7",BI59,0)</f>
        <v>0</v>
      </c>
      <c r="AF59" s="14">
        <f>IF(AQ59="2",BH59,0)</f>
        <v>0</v>
      </c>
      <c r="AG59" s="14">
        <f>IF(AQ59="2",BI59,0)</f>
        <v>0</v>
      </c>
      <c r="AH59" s="14">
        <f>IF(AQ59="0",BJ59,0)</f>
        <v>0</v>
      </c>
      <c r="AI59" s="46" t="s">
        <v>18</v>
      </c>
      <c r="AJ59" s="14">
        <f>IF(AN59=0,I59,0)</f>
        <v>0</v>
      </c>
      <c r="AK59" s="14">
        <f>IF(AN59=12,I59,0)</f>
        <v>0</v>
      </c>
      <c r="AL59" s="14">
        <f>IF(AN59=21,I59,0)</f>
        <v>0</v>
      </c>
      <c r="AN59" s="14">
        <v>21</v>
      </c>
      <c r="AO59" s="14">
        <f>H59*0.60092107</f>
        <v>0</v>
      </c>
      <c r="AP59" s="14">
        <f>H59*(1-0.60092107)</f>
        <v>0</v>
      </c>
      <c r="AQ59" s="13" t="s">
        <v>145</v>
      </c>
      <c r="AV59" s="14">
        <f>AW59+AX59</f>
        <v>0</v>
      </c>
      <c r="AW59" s="14">
        <f>G59*AO59</f>
        <v>0</v>
      </c>
      <c r="AX59" s="14">
        <f>G59*AP59</f>
        <v>0</v>
      </c>
      <c r="AY59" s="13" t="s">
        <v>224</v>
      </c>
      <c r="AZ59" s="13" t="s">
        <v>225</v>
      </c>
      <c r="BA59" s="46" t="s">
        <v>151</v>
      </c>
      <c r="BC59" s="14">
        <f>AW59+AX59</f>
        <v>0</v>
      </c>
      <c r="BD59" s="14">
        <f>H59/(100-BE59)*100</f>
        <v>0</v>
      </c>
      <c r="BE59" s="14">
        <v>0</v>
      </c>
      <c r="BF59" s="14">
        <f>59</f>
        <v>59</v>
      </c>
      <c r="BH59" s="14">
        <f>G59*AO59</f>
        <v>0</v>
      </c>
      <c r="BI59" s="14">
        <f>G59*AP59</f>
        <v>0</v>
      </c>
      <c r="BJ59" s="14">
        <f>G59*H59</f>
        <v>0</v>
      </c>
      <c r="BK59" s="14"/>
      <c r="BL59" s="14">
        <v>27</v>
      </c>
      <c r="BW59" s="14">
        <v>21</v>
      </c>
      <c r="BX59" s="4" t="s">
        <v>222</v>
      </c>
    </row>
    <row r="60" spans="1:76" x14ac:dyDescent="0.25">
      <c r="A60" s="60"/>
      <c r="D60" s="61" t="s">
        <v>226</v>
      </c>
      <c r="E60" s="61" t="s">
        <v>18</v>
      </c>
      <c r="G60" s="62">
        <v>0</v>
      </c>
      <c r="K60" s="52"/>
    </row>
    <row r="61" spans="1:76" x14ac:dyDescent="0.25">
      <c r="A61" s="60"/>
      <c r="D61" s="61" t="s">
        <v>227</v>
      </c>
      <c r="E61" s="61" t="s">
        <v>18</v>
      </c>
      <c r="G61" s="62">
        <v>2.1999999999999999E-2</v>
      </c>
      <c r="K61" s="52"/>
    </row>
    <row r="62" spans="1:76" x14ac:dyDescent="0.25">
      <c r="A62" s="1" t="s">
        <v>228</v>
      </c>
      <c r="B62" s="2" t="s">
        <v>18</v>
      </c>
      <c r="C62" s="2" t="s">
        <v>229</v>
      </c>
      <c r="D62" s="74" t="s">
        <v>230</v>
      </c>
      <c r="E62" s="69"/>
      <c r="F62" s="2" t="s">
        <v>164</v>
      </c>
      <c r="G62" s="14">
        <v>24.25</v>
      </c>
      <c r="H62" s="14">
        <v>0</v>
      </c>
      <c r="I62" s="14">
        <f>G62*H62</f>
        <v>0</v>
      </c>
      <c r="K62" s="52"/>
      <c r="Z62" s="14">
        <f>IF(AQ62="5",BJ62,0)</f>
        <v>0</v>
      </c>
      <c r="AB62" s="14">
        <f>IF(AQ62="1",BH62,0)</f>
        <v>0</v>
      </c>
      <c r="AC62" s="14">
        <f>IF(AQ62="1",BI62,0)</f>
        <v>0</v>
      </c>
      <c r="AD62" s="14">
        <f>IF(AQ62="7",BH62,0)</f>
        <v>0</v>
      </c>
      <c r="AE62" s="14">
        <f>IF(AQ62="7",BI62,0)</f>
        <v>0</v>
      </c>
      <c r="AF62" s="14">
        <f>IF(AQ62="2",BH62,0)</f>
        <v>0</v>
      </c>
      <c r="AG62" s="14">
        <f>IF(AQ62="2",BI62,0)</f>
        <v>0</v>
      </c>
      <c r="AH62" s="14">
        <f>IF(AQ62="0",BJ62,0)</f>
        <v>0</v>
      </c>
      <c r="AI62" s="46" t="s">
        <v>18</v>
      </c>
      <c r="AJ62" s="14">
        <f>IF(AN62=0,I62,0)</f>
        <v>0</v>
      </c>
      <c r="AK62" s="14">
        <f>IF(AN62=12,I62,0)</f>
        <v>0</v>
      </c>
      <c r="AL62" s="14">
        <f>IF(AN62=21,I62,0)</f>
        <v>0</v>
      </c>
      <c r="AN62" s="14">
        <v>21</v>
      </c>
      <c r="AO62" s="14">
        <f>H62*0.723101544</f>
        <v>0</v>
      </c>
      <c r="AP62" s="14">
        <f>H62*(1-0.723101544)</f>
        <v>0</v>
      </c>
      <c r="AQ62" s="13" t="s">
        <v>145</v>
      </c>
      <c r="AV62" s="14">
        <f>AW62+AX62</f>
        <v>0</v>
      </c>
      <c r="AW62" s="14">
        <f>G62*AO62</f>
        <v>0</v>
      </c>
      <c r="AX62" s="14">
        <f>G62*AP62</f>
        <v>0</v>
      </c>
      <c r="AY62" s="13" t="s">
        <v>224</v>
      </c>
      <c r="AZ62" s="13" t="s">
        <v>225</v>
      </c>
      <c r="BA62" s="46" t="s">
        <v>151</v>
      </c>
      <c r="BC62" s="14">
        <f>AW62+AX62</f>
        <v>0</v>
      </c>
      <c r="BD62" s="14">
        <f>H62/(100-BE62)*100</f>
        <v>0</v>
      </c>
      <c r="BE62" s="14">
        <v>0</v>
      </c>
      <c r="BF62" s="14">
        <f>62</f>
        <v>62</v>
      </c>
      <c r="BH62" s="14">
        <f>G62*AO62</f>
        <v>0</v>
      </c>
      <c r="BI62" s="14">
        <f>G62*AP62</f>
        <v>0</v>
      </c>
      <c r="BJ62" s="14">
        <f>G62*H62</f>
        <v>0</v>
      </c>
      <c r="BK62" s="14"/>
      <c r="BL62" s="14">
        <v>27</v>
      </c>
      <c r="BW62" s="14">
        <v>21</v>
      </c>
      <c r="BX62" s="4" t="s">
        <v>230</v>
      </c>
    </row>
    <row r="63" spans="1:76" ht="13.5" customHeight="1" x14ac:dyDescent="0.25">
      <c r="A63" s="60"/>
      <c r="C63" s="63" t="s">
        <v>231</v>
      </c>
      <c r="D63" s="147" t="s">
        <v>232</v>
      </c>
      <c r="E63" s="148"/>
      <c r="F63" s="148"/>
      <c r="G63" s="148"/>
      <c r="H63" s="148"/>
      <c r="I63" s="148"/>
      <c r="J63" s="148"/>
      <c r="K63" s="149"/>
    </row>
    <row r="64" spans="1:76" x14ac:dyDescent="0.25">
      <c r="A64" s="60"/>
      <c r="D64" s="61" t="s">
        <v>233</v>
      </c>
      <c r="E64" s="61" t="s">
        <v>18</v>
      </c>
      <c r="G64" s="62">
        <v>14.7</v>
      </c>
      <c r="K64" s="52"/>
    </row>
    <row r="65" spans="1:76" x14ac:dyDescent="0.25">
      <c r="A65" s="60"/>
      <c r="D65" s="61" t="s">
        <v>234</v>
      </c>
      <c r="E65" s="61" t="s">
        <v>18</v>
      </c>
      <c r="G65" s="62">
        <v>9.5500000000000007</v>
      </c>
      <c r="K65" s="52"/>
    </row>
    <row r="66" spans="1:76" ht="25.5" x14ac:dyDescent="0.25">
      <c r="A66" s="1" t="s">
        <v>28</v>
      </c>
      <c r="B66" s="2" t="s">
        <v>18</v>
      </c>
      <c r="C66" s="2" t="s">
        <v>235</v>
      </c>
      <c r="D66" s="74" t="s">
        <v>236</v>
      </c>
      <c r="E66" s="69"/>
      <c r="F66" s="2" t="s">
        <v>164</v>
      </c>
      <c r="G66" s="14">
        <v>24.25</v>
      </c>
      <c r="H66" s="14">
        <v>0</v>
      </c>
      <c r="I66" s="14">
        <f>G66*H66</f>
        <v>0</v>
      </c>
      <c r="K66" s="52"/>
      <c r="Z66" s="14">
        <f>IF(AQ66="5",BJ66,0)</f>
        <v>0</v>
      </c>
      <c r="AB66" s="14">
        <f>IF(AQ66="1",BH66,0)</f>
        <v>0</v>
      </c>
      <c r="AC66" s="14">
        <f>IF(AQ66="1",BI66,0)</f>
        <v>0</v>
      </c>
      <c r="AD66" s="14">
        <f>IF(AQ66="7",BH66,0)</f>
        <v>0</v>
      </c>
      <c r="AE66" s="14">
        <f>IF(AQ66="7",BI66,0)</f>
        <v>0</v>
      </c>
      <c r="AF66" s="14">
        <f>IF(AQ66="2",BH66,0)</f>
        <v>0</v>
      </c>
      <c r="AG66" s="14">
        <f>IF(AQ66="2",BI66,0)</f>
        <v>0</v>
      </c>
      <c r="AH66" s="14">
        <f>IF(AQ66="0",BJ66,0)</f>
        <v>0</v>
      </c>
      <c r="AI66" s="46" t="s">
        <v>18</v>
      </c>
      <c r="AJ66" s="14">
        <f>IF(AN66=0,I66,0)</f>
        <v>0</v>
      </c>
      <c r="AK66" s="14">
        <f>IF(AN66=12,I66,0)</f>
        <v>0</v>
      </c>
      <c r="AL66" s="14">
        <f>IF(AN66=21,I66,0)</f>
        <v>0</v>
      </c>
      <c r="AN66" s="14">
        <v>21</v>
      </c>
      <c r="AO66" s="14">
        <f>H66*0.73514658</f>
        <v>0</v>
      </c>
      <c r="AP66" s="14">
        <f>H66*(1-0.73514658)</f>
        <v>0</v>
      </c>
      <c r="AQ66" s="13" t="s">
        <v>145</v>
      </c>
      <c r="AV66" s="14">
        <f>AW66+AX66</f>
        <v>0</v>
      </c>
      <c r="AW66" s="14">
        <f>G66*AO66</f>
        <v>0</v>
      </c>
      <c r="AX66" s="14">
        <f>G66*AP66</f>
        <v>0</v>
      </c>
      <c r="AY66" s="13" t="s">
        <v>224</v>
      </c>
      <c r="AZ66" s="13" t="s">
        <v>225</v>
      </c>
      <c r="BA66" s="46" t="s">
        <v>151</v>
      </c>
      <c r="BC66" s="14">
        <f>AW66+AX66</f>
        <v>0</v>
      </c>
      <c r="BD66" s="14">
        <f>H66/(100-BE66)*100</f>
        <v>0</v>
      </c>
      <c r="BE66" s="14">
        <v>0</v>
      </c>
      <c r="BF66" s="14">
        <f>66</f>
        <v>66</v>
      </c>
      <c r="BH66" s="14">
        <f>G66*AO66</f>
        <v>0</v>
      </c>
      <c r="BI66" s="14">
        <f>G66*AP66</f>
        <v>0</v>
      </c>
      <c r="BJ66" s="14">
        <f>G66*H66</f>
        <v>0</v>
      </c>
      <c r="BK66" s="14"/>
      <c r="BL66" s="14">
        <v>27</v>
      </c>
      <c r="BW66" s="14">
        <v>21</v>
      </c>
      <c r="BX66" s="4" t="s">
        <v>236</v>
      </c>
    </row>
    <row r="67" spans="1:76" x14ac:dyDescent="0.25">
      <c r="A67" s="57" t="s">
        <v>18</v>
      </c>
      <c r="B67" s="58" t="s">
        <v>18</v>
      </c>
      <c r="C67" s="58" t="s">
        <v>34</v>
      </c>
      <c r="D67" s="144" t="s">
        <v>35</v>
      </c>
      <c r="E67" s="145"/>
      <c r="F67" s="59" t="s">
        <v>3</v>
      </c>
      <c r="G67" s="59" t="s">
        <v>3</v>
      </c>
      <c r="H67" s="59" t="s">
        <v>3</v>
      </c>
      <c r="I67" s="39">
        <f>SUM(I68:I68)</f>
        <v>0</v>
      </c>
      <c r="K67" s="52"/>
      <c r="AI67" s="46" t="s">
        <v>18</v>
      </c>
      <c r="AS67" s="39">
        <f>SUM(AJ68:AJ68)</f>
        <v>0</v>
      </c>
      <c r="AT67" s="39">
        <f>SUM(AK68:AK68)</f>
        <v>0</v>
      </c>
      <c r="AU67" s="39">
        <f>SUM(AL68:AL68)</f>
        <v>0</v>
      </c>
    </row>
    <row r="68" spans="1:76" x14ac:dyDescent="0.25">
      <c r="A68" s="1" t="s">
        <v>30</v>
      </c>
      <c r="B68" s="2" t="s">
        <v>18</v>
      </c>
      <c r="C68" s="2" t="s">
        <v>237</v>
      </c>
      <c r="D68" s="74" t="s">
        <v>238</v>
      </c>
      <c r="E68" s="69"/>
      <c r="F68" s="2" t="s">
        <v>192</v>
      </c>
      <c r="G68" s="14">
        <v>12.547000000000001</v>
      </c>
      <c r="H68" s="14">
        <v>0</v>
      </c>
      <c r="I68" s="14">
        <f>G68*H68</f>
        <v>0</v>
      </c>
      <c r="K68" s="52"/>
      <c r="Z68" s="14">
        <f>IF(AQ68="5",BJ68,0)</f>
        <v>0</v>
      </c>
      <c r="AB68" s="14">
        <f>IF(AQ68="1",BH68,0)</f>
        <v>0</v>
      </c>
      <c r="AC68" s="14">
        <f>IF(AQ68="1",BI68,0)</f>
        <v>0</v>
      </c>
      <c r="AD68" s="14">
        <f>IF(AQ68="7",BH68,0)</f>
        <v>0</v>
      </c>
      <c r="AE68" s="14">
        <f>IF(AQ68="7",BI68,0)</f>
        <v>0</v>
      </c>
      <c r="AF68" s="14">
        <f>IF(AQ68="2",BH68,0)</f>
        <v>0</v>
      </c>
      <c r="AG68" s="14">
        <f>IF(AQ68="2",BI68,0)</f>
        <v>0</v>
      </c>
      <c r="AH68" s="14">
        <f>IF(AQ68="0",BJ68,0)</f>
        <v>0</v>
      </c>
      <c r="AI68" s="46" t="s">
        <v>18</v>
      </c>
      <c r="AJ68" s="14">
        <f>IF(AN68=0,I68,0)</f>
        <v>0</v>
      </c>
      <c r="AK68" s="14">
        <f>IF(AN68=12,I68,0)</f>
        <v>0</v>
      </c>
      <c r="AL68" s="14">
        <f>IF(AN68=21,I68,0)</f>
        <v>0</v>
      </c>
      <c r="AN68" s="14">
        <v>21</v>
      </c>
      <c r="AO68" s="14">
        <f>H68*0.460108131</f>
        <v>0</v>
      </c>
      <c r="AP68" s="14">
        <f>H68*(1-0.460108131)</f>
        <v>0</v>
      </c>
      <c r="AQ68" s="13" t="s">
        <v>145</v>
      </c>
      <c r="AV68" s="14">
        <f>AW68+AX68</f>
        <v>0</v>
      </c>
      <c r="AW68" s="14">
        <f>G68*AO68</f>
        <v>0</v>
      </c>
      <c r="AX68" s="14">
        <f>G68*AP68</f>
        <v>0</v>
      </c>
      <c r="AY68" s="13" t="s">
        <v>239</v>
      </c>
      <c r="AZ68" s="13" t="s">
        <v>240</v>
      </c>
      <c r="BA68" s="46" t="s">
        <v>151</v>
      </c>
      <c r="BC68" s="14">
        <f>AW68+AX68</f>
        <v>0</v>
      </c>
      <c r="BD68" s="14">
        <f>H68/(100-BE68)*100</f>
        <v>0</v>
      </c>
      <c r="BE68" s="14">
        <v>0</v>
      </c>
      <c r="BF68" s="14">
        <f>68</f>
        <v>68</v>
      </c>
      <c r="BH68" s="14">
        <f>G68*AO68</f>
        <v>0</v>
      </c>
      <c r="BI68" s="14">
        <f>G68*AP68</f>
        <v>0</v>
      </c>
      <c r="BJ68" s="14">
        <f>G68*H68</f>
        <v>0</v>
      </c>
      <c r="BK68" s="14"/>
      <c r="BL68" s="14">
        <v>32</v>
      </c>
      <c r="BW68" s="14">
        <v>21</v>
      </c>
      <c r="BX68" s="4" t="s">
        <v>238</v>
      </c>
    </row>
    <row r="69" spans="1:76" ht="13.5" customHeight="1" x14ac:dyDescent="0.25">
      <c r="A69" s="60"/>
      <c r="C69" s="63" t="s">
        <v>231</v>
      </c>
      <c r="D69" s="147" t="s">
        <v>241</v>
      </c>
      <c r="E69" s="148"/>
      <c r="F69" s="148"/>
      <c r="G69" s="148"/>
      <c r="H69" s="148"/>
      <c r="I69" s="148"/>
      <c r="J69" s="148"/>
      <c r="K69" s="149"/>
    </row>
    <row r="70" spans="1:76" x14ac:dyDescent="0.25">
      <c r="A70" s="60"/>
      <c r="D70" s="61" t="s">
        <v>194</v>
      </c>
      <c r="E70" s="61" t="s">
        <v>18</v>
      </c>
      <c r="G70" s="62">
        <v>0</v>
      </c>
      <c r="K70" s="52"/>
    </row>
    <row r="71" spans="1:76" x14ac:dyDescent="0.25">
      <c r="A71" s="60"/>
      <c r="D71" s="61" t="s">
        <v>195</v>
      </c>
      <c r="E71" s="61" t="s">
        <v>18</v>
      </c>
      <c r="G71" s="62">
        <v>8.25</v>
      </c>
      <c r="K71" s="52"/>
    </row>
    <row r="72" spans="1:76" x14ac:dyDescent="0.25">
      <c r="A72" s="60"/>
      <c r="D72" s="61" t="s">
        <v>196</v>
      </c>
      <c r="E72" s="61" t="s">
        <v>18</v>
      </c>
      <c r="G72" s="62">
        <v>1.7549999999999999</v>
      </c>
      <c r="K72" s="52"/>
    </row>
    <row r="73" spans="1:76" x14ac:dyDescent="0.25">
      <c r="A73" s="60"/>
      <c r="D73" s="61" t="s">
        <v>197</v>
      </c>
      <c r="E73" s="61" t="s">
        <v>18</v>
      </c>
      <c r="G73" s="62">
        <v>2.5419999999999998</v>
      </c>
      <c r="K73" s="52"/>
    </row>
    <row r="74" spans="1:76" x14ac:dyDescent="0.25">
      <c r="A74" s="57" t="s">
        <v>18</v>
      </c>
      <c r="B74" s="58" t="s">
        <v>18</v>
      </c>
      <c r="C74" s="58" t="s">
        <v>36</v>
      </c>
      <c r="D74" s="144" t="s">
        <v>37</v>
      </c>
      <c r="E74" s="145"/>
      <c r="F74" s="59" t="s">
        <v>3</v>
      </c>
      <c r="G74" s="59" t="s">
        <v>3</v>
      </c>
      <c r="H74" s="59" t="s">
        <v>3</v>
      </c>
      <c r="I74" s="39">
        <f>SUM(I75:I75)</f>
        <v>0</v>
      </c>
      <c r="K74" s="52"/>
      <c r="AI74" s="46" t="s">
        <v>18</v>
      </c>
      <c r="AS74" s="39">
        <f>SUM(AJ75:AJ75)</f>
        <v>0</v>
      </c>
      <c r="AT74" s="39">
        <f>SUM(AK75:AK75)</f>
        <v>0</v>
      </c>
      <c r="AU74" s="39">
        <f>SUM(AL75:AL75)</f>
        <v>0</v>
      </c>
    </row>
    <row r="75" spans="1:76" x14ac:dyDescent="0.25">
      <c r="A75" s="1" t="s">
        <v>242</v>
      </c>
      <c r="B75" s="2" t="s">
        <v>18</v>
      </c>
      <c r="C75" s="2" t="s">
        <v>243</v>
      </c>
      <c r="D75" s="74" t="s">
        <v>244</v>
      </c>
      <c r="E75" s="69"/>
      <c r="F75" s="2" t="s">
        <v>183</v>
      </c>
      <c r="G75" s="14">
        <v>23.55</v>
      </c>
      <c r="H75" s="14">
        <v>0</v>
      </c>
      <c r="I75" s="14">
        <f>G75*H75</f>
        <v>0</v>
      </c>
      <c r="K75" s="52"/>
      <c r="Z75" s="14">
        <f>IF(AQ75="5",BJ75,0)</f>
        <v>0</v>
      </c>
      <c r="AB75" s="14">
        <f>IF(AQ75="1",BH75,0)</f>
        <v>0</v>
      </c>
      <c r="AC75" s="14">
        <f>IF(AQ75="1",BI75,0)</f>
        <v>0</v>
      </c>
      <c r="AD75" s="14">
        <f>IF(AQ75="7",BH75,0)</f>
        <v>0</v>
      </c>
      <c r="AE75" s="14">
        <f>IF(AQ75="7",BI75,0)</f>
        <v>0</v>
      </c>
      <c r="AF75" s="14">
        <f>IF(AQ75="2",BH75,0)</f>
        <v>0</v>
      </c>
      <c r="AG75" s="14">
        <f>IF(AQ75="2",BI75,0)</f>
        <v>0</v>
      </c>
      <c r="AH75" s="14">
        <f>IF(AQ75="0",BJ75,0)</f>
        <v>0</v>
      </c>
      <c r="AI75" s="46" t="s">
        <v>18</v>
      </c>
      <c r="AJ75" s="14">
        <f>IF(AN75=0,I75,0)</f>
        <v>0</v>
      </c>
      <c r="AK75" s="14">
        <f>IF(AN75=12,I75,0)</f>
        <v>0</v>
      </c>
      <c r="AL75" s="14">
        <f>IF(AN75=21,I75,0)</f>
        <v>0</v>
      </c>
      <c r="AN75" s="14">
        <v>21</v>
      </c>
      <c r="AO75" s="14">
        <f>H75*0.732750533</f>
        <v>0</v>
      </c>
      <c r="AP75" s="14">
        <f>H75*(1-0.732750533)</f>
        <v>0</v>
      </c>
      <c r="AQ75" s="13" t="s">
        <v>145</v>
      </c>
      <c r="AV75" s="14">
        <f>AW75+AX75</f>
        <v>0</v>
      </c>
      <c r="AW75" s="14">
        <f>G75*AO75</f>
        <v>0</v>
      </c>
      <c r="AX75" s="14">
        <f>G75*AP75</f>
        <v>0</v>
      </c>
      <c r="AY75" s="13" t="s">
        <v>245</v>
      </c>
      <c r="AZ75" s="13" t="s">
        <v>240</v>
      </c>
      <c r="BA75" s="46" t="s">
        <v>151</v>
      </c>
      <c r="BC75" s="14">
        <f>AW75+AX75</f>
        <v>0</v>
      </c>
      <c r="BD75" s="14">
        <f>H75/(100-BE75)*100</f>
        <v>0</v>
      </c>
      <c r="BE75" s="14">
        <v>0</v>
      </c>
      <c r="BF75" s="14">
        <f>75</f>
        <v>75</v>
      </c>
      <c r="BH75" s="14">
        <f>G75*AO75</f>
        <v>0</v>
      </c>
      <c r="BI75" s="14">
        <f>G75*AP75</f>
        <v>0</v>
      </c>
      <c r="BJ75" s="14">
        <f>G75*H75</f>
        <v>0</v>
      </c>
      <c r="BK75" s="14"/>
      <c r="BL75" s="14">
        <v>34</v>
      </c>
      <c r="BW75" s="14">
        <v>21</v>
      </c>
      <c r="BX75" s="4" t="s">
        <v>244</v>
      </c>
    </row>
    <row r="76" spans="1:76" x14ac:dyDescent="0.25">
      <c r="A76" s="60"/>
      <c r="D76" s="61" t="s">
        <v>246</v>
      </c>
      <c r="E76" s="61" t="s">
        <v>18</v>
      </c>
      <c r="G76" s="62">
        <v>23.55</v>
      </c>
      <c r="K76" s="52"/>
    </row>
    <row r="77" spans="1:76" x14ac:dyDescent="0.25">
      <c r="A77" s="57" t="s">
        <v>18</v>
      </c>
      <c r="B77" s="58" t="s">
        <v>18</v>
      </c>
      <c r="C77" s="58" t="s">
        <v>38</v>
      </c>
      <c r="D77" s="144" t="s">
        <v>39</v>
      </c>
      <c r="E77" s="145"/>
      <c r="F77" s="59" t="s">
        <v>3</v>
      </c>
      <c r="G77" s="59" t="s">
        <v>3</v>
      </c>
      <c r="H77" s="59" t="s">
        <v>3</v>
      </c>
      <c r="I77" s="39">
        <f>SUM(I78:I78)</f>
        <v>0</v>
      </c>
      <c r="K77" s="52"/>
      <c r="AI77" s="46" t="s">
        <v>18</v>
      </c>
      <c r="AS77" s="39">
        <f>SUM(AJ78:AJ78)</f>
        <v>0</v>
      </c>
      <c r="AT77" s="39">
        <f>SUM(AK78:AK78)</f>
        <v>0</v>
      </c>
      <c r="AU77" s="39">
        <f>SUM(AL78:AL78)</f>
        <v>0</v>
      </c>
    </row>
    <row r="78" spans="1:76" x14ac:dyDescent="0.25">
      <c r="A78" s="1" t="s">
        <v>247</v>
      </c>
      <c r="B78" s="2" t="s">
        <v>18</v>
      </c>
      <c r="C78" s="2" t="s">
        <v>248</v>
      </c>
      <c r="D78" s="74" t="s">
        <v>249</v>
      </c>
      <c r="E78" s="69"/>
      <c r="F78" s="2" t="s">
        <v>164</v>
      </c>
      <c r="G78" s="14">
        <v>42.55</v>
      </c>
      <c r="H78" s="14">
        <v>0</v>
      </c>
      <c r="I78" s="14">
        <f>G78*H78</f>
        <v>0</v>
      </c>
      <c r="K78" s="52"/>
      <c r="Z78" s="14">
        <f>IF(AQ78="5",BJ78,0)</f>
        <v>0</v>
      </c>
      <c r="AB78" s="14">
        <f>IF(AQ78="1",BH78,0)</f>
        <v>0</v>
      </c>
      <c r="AC78" s="14">
        <f>IF(AQ78="1",BI78,0)</f>
        <v>0</v>
      </c>
      <c r="AD78" s="14">
        <f>IF(AQ78="7",BH78,0)</f>
        <v>0</v>
      </c>
      <c r="AE78" s="14">
        <f>IF(AQ78="7",BI78,0)</f>
        <v>0</v>
      </c>
      <c r="AF78" s="14">
        <f>IF(AQ78="2",BH78,0)</f>
        <v>0</v>
      </c>
      <c r="AG78" s="14">
        <f>IF(AQ78="2",BI78,0)</f>
        <v>0</v>
      </c>
      <c r="AH78" s="14">
        <f>IF(AQ78="0",BJ78,0)</f>
        <v>0</v>
      </c>
      <c r="AI78" s="46" t="s">
        <v>18</v>
      </c>
      <c r="AJ78" s="14">
        <f>IF(AN78=0,I78,0)</f>
        <v>0</v>
      </c>
      <c r="AK78" s="14">
        <f>IF(AN78=12,I78,0)</f>
        <v>0</v>
      </c>
      <c r="AL78" s="14">
        <f>IF(AN78=21,I78,0)</f>
        <v>0</v>
      </c>
      <c r="AN78" s="14">
        <v>21</v>
      </c>
      <c r="AO78" s="14">
        <f>H78*0.876315557</f>
        <v>0</v>
      </c>
      <c r="AP78" s="14">
        <f>H78*(1-0.876315557)</f>
        <v>0</v>
      </c>
      <c r="AQ78" s="13" t="s">
        <v>145</v>
      </c>
      <c r="AV78" s="14">
        <f>AW78+AX78</f>
        <v>0</v>
      </c>
      <c r="AW78" s="14">
        <f>G78*AO78</f>
        <v>0</v>
      </c>
      <c r="AX78" s="14">
        <f>G78*AP78</f>
        <v>0</v>
      </c>
      <c r="AY78" s="13" t="s">
        <v>250</v>
      </c>
      <c r="AZ78" s="13" t="s">
        <v>251</v>
      </c>
      <c r="BA78" s="46" t="s">
        <v>151</v>
      </c>
      <c r="BC78" s="14">
        <f>AW78+AX78</f>
        <v>0</v>
      </c>
      <c r="BD78" s="14">
        <f>H78/(100-BE78)*100</f>
        <v>0</v>
      </c>
      <c r="BE78" s="14">
        <v>0</v>
      </c>
      <c r="BF78" s="14">
        <f>78</f>
        <v>78</v>
      </c>
      <c r="BH78" s="14">
        <f>G78*AO78</f>
        <v>0</v>
      </c>
      <c r="BI78" s="14">
        <f>G78*AP78</f>
        <v>0</v>
      </c>
      <c r="BJ78" s="14">
        <f>G78*H78</f>
        <v>0</v>
      </c>
      <c r="BK78" s="14"/>
      <c r="BL78" s="14">
        <v>56</v>
      </c>
      <c r="BW78" s="14">
        <v>21</v>
      </c>
      <c r="BX78" s="4" t="s">
        <v>249</v>
      </c>
    </row>
    <row r="79" spans="1:76" x14ac:dyDescent="0.25">
      <c r="A79" s="60"/>
      <c r="D79" s="61" t="s">
        <v>252</v>
      </c>
      <c r="E79" s="61" t="s">
        <v>18</v>
      </c>
      <c r="G79" s="62">
        <v>0</v>
      </c>
      <c r="K79" s="52"/>
    </row>
    <row r="80" spans="1:76" x14ac:dyDescent="0.25">
      <c r="A80" s="60"/>
      <c r="D80" s="61" t="s">
        <v>253</v>
      </c>
      <c r="E80" s="61" t="s">
        <v>18</v>
      </c>
      <c r="G80" s="62">
        <v>42.55</v>
      </c>
      <c r="K80" s="52"/>
    </row>
    <row r="81" spans="1:76" x14ac:dyDescent="0.25">
      <c r="A81" s="57" t="s">
        <v>18</v>
      </c>
      <c r="B81" s="58" t="s">
        <v>18</v>
      </c>
      <c r="C81" s="58" t="s">
        <v>40</v>
      </c>
      <c r="D81" s="144" t="s">
        <v>41</v>
      </c>
      <c r="E81" s="145"/>
      <c r="F81" s="59" t="s">
        <v>3</v>
      </c>
      <c r="G81" s="59" t="s">
        <v>3</v>
      </c>
      <c r="H81" s="59" t="s">
        <v>3</v>
      </c>
      <c r="I81" s="39">
        <f>SUM(I82:I85)</f>
        <v>0</v>
      </c>
      <c r="K81" s="52"/>
      <c r="AI81" s="46" t="s">
        <v>18</v>
      </c>
      <c r="AS81" s="39">
        <f>SUM(AJ82:AJ85)</f>
        <v>0</v>
      </c>
      <c r="AT81" s="39">
        <f>SUM(AK82:AK85)</f>
        <v>0</v>
      </c>
      <c r="AU81" s="39">
        <f>SUM(AL82:AL85)</f>
        <v>0</v>
      </c>
    </row>
    <row r="82" spans="1:76" x14ac:dyDescent="0.25">
      <c r="A82" s="1" t="s">
        <v>254</v>
      </c>
      <c r="B82" s="2" t="s">
        <v>18</v>
      </c>
      <c r="C82" s="2" t="s">
        <v>255</v>
      </c>
      <c r="D82" s="74" t="s">
        <v>256</v>
      </c>
      <c r="E82" s="69"/>
      <c r="F82" s="2" t="s">
        <v>164</v>
      </c>
      <c r="G82" s="14">
        <v>37</v>
      </c>
      <c r="H82" s="14">
        <v>0</v>
      </c>
      <c r="I82" s="14">
        <f>G82*H82</f>
        <v>0</v>
      </c>
      <c r="K82" s="52"/>
      <c r="Z82" s="14">
        <f>IF(AQ82="5",BJ82,0)</f>
        <v>0</v>
      </c>
      <c r="AB82" s="14">
        <f>IF(AQ82="1",BH82,0)</f>
        <v>0</v>
      </c>
      <c r="AC82" s="14">
        <f>IF(AQ82="1",BI82,0)</f>
        <v>0</v>
      </c>
      <c r="AD82" s="14">
        <f>IF(AQ82="7",BH82,0)</f>
        <v>0</v>
      </c>
      <c r="AE82" s="14">
        <f>IF(AQ82="7",BI82,0)</f>
        <v>0</v>
      </c>
      <c r="AF82" s="14">
        <f>IF(AQ82="2",BH82,0)</f>
        <v>0</v>
      </c>
      <c r="AG82" s="14">
        <f>IF(AQ82="2",BI82,0)</f>
        <v>0</v>
      </c>
      <c r="AH82" s="14">
        <f>IF(AQ82="0",BJ82,0)</f>
        <v>0</v>
      </c>
      <c r="AI82" s="46" t="s">
        <v>18</v>
      </c>
      <c r="AJ82" s="14">
        <f>IF(AN82=0,I82,0)</f>
        <v>0</v>
      </c>
      <c r="AK82" s="14">
        <f>IF(AN82=12,I82,0)</f>
        <v>0</v>
      </c>
      <c r="AL82" s="14">
        <f>IF(AN82=21,I82,0)</f>
        <v>0</v>
      </c>
      <c r="AN82" s="14">
        <v>21</v>
      </c>
      <c r="AO82" s="14">
        <f>H82*0.170541401</f>
        <v>0</v>
      </c>
      <c r="AP82" s="14">
        <f>H82*(1-0.170541401)</f>
        <v>0</v>
      </c>
      <c r="AQ82" s="13" t="s">
        <v>145</v>
      </c>
      <c r="AV82" s="14">
        <f>AW82+AX82</f>
        <v>0</v>
      </c>
      <c r="AW82" s="14">
        <f>G82*AO82</f>
        <v>0</v>
      </c>
      <c r="AX82" s="14">
        <f>G82*AP82</f>
        <v>0</v>
      </c>
      <c r="AY82" s="13" t="s">
        <v>257</v>
      </c>
      <c r="AZ82" s="13" t="s">
        <v>251</v>
      </c>
      <c r="BA82" s="46" t="s">
        <v>151</v>
      </c>
      <c r="BC82" s="14">
        <f>AW82+AX82</f>
        <v>0</v>
      </c>
      <c r="BD82" s="14">
        <f>H82/(100-BE82)*100</f>
        <v>0</v>
      </c>
      <c r="BE82" s="14">
        <v>0</v>
      </c>
      <c r="BF82" s="14">
        <f>82</f>
        <v>82</v>
      </c>
      <c r="BH82" s="14">
        <f>G82*AO82</f>
        <v>0</v>
      </c>
      <c r="BI82" s="14">
        <f>G82*AP82</f>
        <v>0</v>
      </c>
      <c r="BJ82" s="14">
        <f>G82*H82</f>
        <v>0</v>
      </c>
      <c r="BK82" s="14"/>
      <c r="BL82" s="14">
        <v>59</v>
      </c>
      <c r="BW82" s="14">
        <v>21</v>
      </c>
      <c r="BX82" s="4" t="s">
        <v>256</v>
      </c>
    </row>
    <row r="83" spans="1:76" x14ac:dyDescent="0.25">
      <c r="A83" s="60"/>
      <c r="D83" s="61" t="s">
        <v>258</v>
      </c>
      <c r="E83" s="61" t="s">
        <v>18</v>
      </c>
      <c r="G83" s="62">
        <v>37</v>
      </c>
      <c r="K83" s="52"/>
    </row>
    <row r="84" spans="1:76" x14ac:dyDescent="0.25">
      <c r="A84" s="1" t="s">
        <v>259</v>
      </c>
      <c r="B84" s="2" t="s">
        <v>18</v>
      </c>
      <c r="C84" s="2" t="s">
        <v>260</v>
      </c>
      <c r="D84" s="74" t="s">
        <v>261</v>
      </c>
      <c r="E84" s="69"/>
      <c r="F84" s="2" t="s">
        <v>183</v>
      </c>
      <c r="G84" s="14">
        <v>18</v>
      </c>
      <c r="H84" s="14">
        <v>0</v>
      </c>
      <c r="I84" s="14">
        <f>G84*H84</f>
        <v>0</v>
      </c>
      <c r="K84" s="52"/>
      <c r="Z84" s="14">
        <f>IF(AQ84="5",BJ84,0)</f>
        <v>0</v>
      </c>
      <c r="AB84" s="14">
        <f>IF(AQ84="1",BH84,0)</f>
        <v>0</v>
      </c>
      <c r="AC84" s="14">
        <f>IF(AQ84="1",BI84,0)</f>
        <v>0</v>
      </c>
      <c r="AD84" s="14">
        <f>IF(AQ84="7",BH84,0)</f>
        <v>0</v>
      </c>
      <c r="AE84" s="14">
        <f>IF(AQ84="7",BI84,0)</f>
        <v>0</v>
      </c>
      <c r="AF84" s="14">
        <f>IF(AQ84="2",BH84,0)</f>
        <v>0</v>
      </c>
      <c r="AG84" s="14">
        <f>IF(AQ84="2",BI84,0)</f>
        <v>0</v>
      </c>
      <c r="AH84" s="14">
        <f>IF(AQ84="0",BJ84,0)</f>
        <v>0</v>
      </c>
      <c r="AI84" s="46" t="s">
        <v>18</v>
      </c>
      <c r="AJ84" s="14">
        <f>IF(AN84=0,I84,0)</f>
        <v>0</v>
      </c>
      <c r="AK84" s="14">
        <f>IF(AN84=12,I84,0)</f>
        <v>0</v>
      </c>
      <c r="AL84" s="14">
        <f>IF(AN84=21,I84,0)</f>
        <v>0</v>
      </c>
      <c r="AN84" s="14">
        <v>21</v>
      </c>
      <c r="AO84" s="14">
        <f>H84*0.053195815</f>
        <v>0</v>
      </c>
      <c r="AP84" s="14">
        <f>H84*(1-0.053195815)</f>
        <v>0</v>
      </c>
      <c r="AQ84" s="13" t="s">
        <v>145</v>
      </c>
      <c r="AV84" s="14">
        <f>AW84+AX84</f>
        <v>0</v>
      </c>
      <c r="AW84" s="14">
        <f>G84*AO84</f>
        <v>0</v>
      </c>
      <c r="AX84" s="14">
        <f>G84*AP84</f>
        <v>0</v>
      </c>
      <c r="AY84" s="13" t="s">
        <v>257</v>
      </c>
      <c r="AZ84" s="13" t="s">
        <v>251</v>
      </c>
      <c r="BA84" s="46" t="s">
        <v>151</v>
      </c>
      <c r="BC84" s="14">
        <f>AW84+AX84</f>
        <v>0</v>
      </c>
      <c r="BD84" s="14">
        <f>H84/(100-BE84)*100</f>
        <v>0</v>
      </c>
      <c r="BE84" s="14">
        <v>0</v>
      </c>
      <c r="BF84" s="14">
        <f>84</f>
        <v>84</v>
      </c>
      <c r="BH84" s="14">
        <f>G84*AO84</f>
        <v>0</v>
      </c>
      <c r="BI84" s="14">
        <f>G84*AP84</f>
        <v>0</v>
      </c>
      <c r="BJ84" s="14">
        <f>G84*H84</f>
        <v>0</v>
      </c>
      <c r="BK84" s="14"/>
      <c r="BL84" s="14">
        <v>59</v>
      </c>
      <c r="BW84" s="14">
        <v>21</v>
      </c>
      <c r="BX84" s="4" t="s">
        <v>261</v>
      </c>
    </row>
    <row r="85" spans="1:76" x14ac:dyDescent="0.25">
      <c r="A85" s="1" t="s">
        <v>262</v>
      </c>
      <c r="B85" s="2" t="s">
        <v>18</v>
      </c>
      <c r="C85" s="2" t="s">
        <v>263</v>
      </c>
      <c r="D85" s="74" t="s">
        <v>347</v>
      </c>
      <c r="E85" s="69"/>
      <c r="F85" s="2" t="s">
        <v>164</v>
      </c>
      <c r="G85" s="14">
        <v>37.74</v>
      </c>
      <c r="H85" s="14">
        <v>0</v>
      </c>
      <c r="I85" s="14">
        <f>G85*H85</f>
        <v>0</v>
      </c>
      <c r="K85" s="52"/>
      <c r="Z85" s="14">
        <f>IF(AQ85="5",BJ85,0)</f>
        <v>0</v>
      </c>
      <c r="AB85" s="14">
        <f>IF(AQ85="1",BH85,0)</f>
        <v>0</v>
      </c>
      <c r="AC85" s="14">
        <f>IF(AQ85="1",BI85,0)</f>
        <v>0</v>
      </c>
      <c r="AD85" s="14">
        <f>IF(AQ85="7",BH85,0)</f>
        <v>0</v>
      </c>
      <c r="AE85" s="14">
        <f>IF(AQ85="7",BI85,0)</f>
        <v>0</v>
      </c>
      <c r="AF85" s="14">
        <f>IF(AQ85="2",BH85,0)</f>
        <v>0</v>
      </c>
      <c r="AG85" s="14">
        <f>IF(AQ85="2",BI85,0)</f>
        <v>0</v>
      </c>
      <c r="AH85" s="14">
        <f>IF(AQ85="0",BJ85,0)</f>
        <v>0</v>
      </c>
      <c r="AI85" s="46" t="s">
        <v>18</v>
      </c>
      <c r="AJ85" s="14">
        <f>IF(AN85=0,I85,0)</f>
        <v>0</v>
      </c>
      <c r="AK85" s="14">
        <f>IF(AN85=12,I85,0)</f>
        <v>0</v>
      </c>
      <c r="AL85" s="14">
        <f>IF(AN85=21,I85,0)</f>
        <v>0</v>
      </c>
      <c r="AN85" s="14">
        <v>21</v>
      </c>
      <c r="AO85" s="14">
        <f>H85*1</f>
        <v>0</v>
      </c>
      <c r="AP85" s="14">
        <f>H85*(1-1)</f>
        <v>0</v>
      </c>
      <c r="AQ85" s="13" t="s">
        <v>145</v>
      </c>
      <c r="AV85" s="14">
        <f>AW85+AX85</f>
        <v>0</v>
      </c>
      <c r="AW85" s="14">
        <f>G85*AO85</f>
        <v>0</v>
      </c>
      <c r="AX85" s="14">
        <f>G85*AP85</f>
        <v>0</v>
      </c>
      <c r="AY85" s="13" t="s">
        <v>257</v>
      </c>
      <c r="AZ85" s="13" t="s">
        <v>251</v>
      </c>
      <c r="BA85" s="46" t="s">
        <v>151</v>
      </c>
      <c r="BC85" s="14">
        <f>AW85+AX85</f>
        <v>0</v>
      </c>
      <c r="BD85" s="14">
        <f>H85/(100-BE85)*100</f>
        <v>0</v>
      </c>
      <c r="BE85" s="14">
        <v>0</v>
      </c>
      <c r="BF85" s="14">
        <f>85</f>
        <v>85</v>
      </c>
      <c r="BH85" s="14">
        <f>G85*AO85</f>
        <v>0</v>
      </c>
      <c r="BI85" s="14">
        <f>G85*AP85</f>
        <v>0</v>
      </c>
      <c r="BJ85" s="14">
        <f>G85*H85</f>
        <v>0</v>
      </c>
      <c r="BK85" s="14"/>
      <c r="BL85" s="14">
        <v>59</v>
      </c>
      <c r="BW85" s="14">
        <v>21</v>
      </c>
      <c r="BX85" s="4" t="s">
        <v>264</v>
      </c>
    </row>
    <row r="86" spans="1:76" x14ac:dyDescent="0.25">
      <c r="A86" s="60"/>
      <c r="D86" s="61" t="s">
        <v>265</v>
      </c>
      <c r="E86" s="61" t="s">
        <v>18</v>
      </c>
      <c r="G86" s="62">
        <v>37.74</v>
      </c>
      <c r="K86" s="52"/>
    </row>
    <row r="87" spans="1:76" x14ac:dyDescent="0.25">
      <c r="A87" s="57" t="s">
        <v>18</v>
      </c>
      <c r="B87" s="58" t="s">
        <v>18</v>
      </c>
      <c r="C87" s="58" t="s">
        <v>42</v>
      </c>
      <c r="D87" s="144" t="s">
        <v>43</v>
      </c>
      <c r="E87" s="145"/>
      <c r="F87" s="59" t="s">
        <v>3</v>
      </c>
      <c r="G87" s="59" t="s">
        <v>3</v>
      </c>
      <c r="H87" s="59" t="s">
        <v>3</v>
      </c>
      <c r="I87" s="39">
        <f>SUM(I88:I91)</f>
        <v>0</v>
      </c>
      <c r="K87" s="52"/>
      <c r="AI87" s="46" t="s">
        <v>18</v>
      </c>
      <c r="AS87" s="39">
        <f>SUM(AJ88:AJ91)</f>
        <v>0</v>
      </c>
      <c r="AT87" s="39">
        <f>SUM(AK88:AK91)</f>
        <v>0</v>
      </c>
      <c r="AU87" s="39">
        <f>SUM(AL88:AL91)</f>
        <v>0</v>
      </c>
    </row>
    <row r="88" spans="1:76" x14ac:dyDescent="0.25">
      <c r="A88" s="1" t="s">
        <v>266</v>
      </c>
      <c r="B88" s="2" t="s">
        <v>18</v>
      </c>
      <c r="C88" s="2" t="s">
        <v>267</v>
      </c>
      <c r="D88" s="74" t="s">
        <v>268</v>
      </c>
      <c r="E88" s="69"/>
      <c r="F88" s="2" t="s">
        <v>192</v>
      </c>
      <c r="G88" s="14">
        <v>1.125</v>
      </c>
      <c r="H88" s="14">
        <v>0</v>
      </c>
      <c r="I88" s="14">
        <f>G88*H88</f>
        <v>0</v>
      </c>
      <c r="K88" s="52"/>
      <c r="Z88" s="14">
        <f>IF(AQ88="5",BJ88,0)</f>
        <v>0</v>
      </c>
      <c r="AB88" s="14">
        <f>IF(AQ88="1",BH88,0)</f>
        <v>0</v>
      </c>
      <c r="AC88" s="14">
        <f>IF(AQ88="1",BI88,0)</f>
        <v>0</v>
      </c>
      <c r="AD88" s="14">
        <f>IF(AQ88="7",BH88,0)</f>
        <v>0</v>
      </c>
      <c r="AE88" s="14">
        <f>IF(AQ88="7",BI88,0)</f>
        <v>0</v>
      </c>
      <c r="AF88" s="14">
        <f>IF(AQ88="2",BH88,0)</f>
        <v>0</v>
      </c>
      <c r="AG88" s="14">
        <f>IF(AQ88="2",BI88,0)</f>
        <v>0</v>
      </c>
      <c r="AH88" s="14">
        <f>IF(AQ88="0",BJ88,0)</f>
        <v>0</v>
      </c>
      <c r="AI88" s="46" t="s">
        <v>18</v>
      </c>
      <c r="AJ88" s="14">
        <f>IF(AN88=0,I88,0)</f>
        <v>0</v>
      </c>
      <c r="AK88" s="14">
        <f>IF(AN88=12,I88,0)</f>
        <v>0</v>
      </c>
      <c r="AL88" s="14">
        <f>IF(AN88=21,I88,0)</f>
        <v>0</v>
      </c>
      <c r="AN88" s="14">
        <v>21</v>
      </c>
      <c r="AO88" s="14">
        <f>H88*0.773944207</f>
        <v>0</v>
      </c>
      <c r="AP88" s="14">
        <f>H88*(1-0.773944207)</f>
        <v>0</v>
      </c>
      <c r="AQ88" s="13" t="s">
        <v>145</v>
      </c>
      <c r="AV88" s="14">
        <f>AW88+AX88</f>
        <v>0</v>
      </c>
      <c r="AW88" s="14">
        <f>G88*AO88</f>
        <v>0</v>
      </c>
      <c r="AX88" s="14">
        <f>G88*AP88</f>
        <v>0</v>
      </c>
      <c r="AY88" s="13" t="s">
        <v>269</v>
      </c>
      <c r="AZ88" s="13" t="s">
        <v>270</v>
      </c>
      <c r="BA88" s="46" t="s">
        <v>151</v>
      </c>
      <c r="BC88" s="14">
        <f>AW88+AX88</f>
        <v>0</v>
      </c>
      <c r="BD88" s="14">
        <f>H88/(100-BE88)*100</f>
        <v>0</v>
      </c>
      <c r="BE88" s="14">
        <v>0</v>
      </c>
      <c r="BF88" s="14">
        <f>88</f>
        <v>88</v>
      </c>
      <c r="BH88" s="14">
        <f>G88*AO88</f>
        <v>0</v>
      </c>
      <c r="BI88" s="14">
        <f>G88*AP88</f>
        <v>0</v>
      </c>
      <c r="BJ88" s="14">
        <f>G88*H88</f>
        <v>0</v>
      </c>
      <c r="BK88" s="14"/>
      <c r="BL88" s="14">
        <v>63</v>
      </c>
      <c r="BW88" s="14">
        <v>21</v>
      </c>
      <c r="BX88" s="4" t="s">
        <v>268</v>
      </c>
    </row>
    <row r="89" spans="1:76" x14ac:dyDescent="0.25">
      <c r="A89" s="60"/>
      <c r="D89" s="61" t="s">
        <v>271</v>
      </c>
      <c r="E89" s="61" t="s">
        <v>18</v>
      </c>
      <c r="G89" s="62">
        <v>0</v>
      </c>
      <c r="K89" s="52"/>
    </row>
    <row r="90" spans="1:76" x14ac:dyDescent="0.25">
      <c r="A90" s="60"/>
      <c r="D90" s="61" t="s">
        <v>272</v>
      </c>
      <c r="E90" s="61" t="s">
        <v>18</v>
      </c>
      <c r="G90" s="62">
        <v>1.125</v>
      </c>
      <c r="K90" s="52"/>
    </row>
    <row r="91" spans="1:76" x14ac:dyDescent="0.25">
      <c r="A91" s="1" t="s">
        <v>273</v>
      </c>
      <c r="B91" s="2" t="s">
        <v>18</v>
      </c>
      <c r="C91" s="2" t="s">
        <v>274</v>
      </c>
      <c r="D91" s="74" t="s">
        <v>275</v>
      </c>
      <c r="E91" s="69"/>
      <c r="F91" s="2" t="s">
        <v>164</v>
      </c>
      <c r="G91" s="14">
        <v>19.399999999999999</v>
      </c>
      <c r="H91" s="14">
        <v>0</v>
      </c>
      <c r="I91" s="14">
        <f>G91*H91</f>
        <v>0</v>
      </c>
      <c r="K91" s="52"/>
      <c r="Z91" s="14">
        <f>IF(AQ91="5",BJ91,0)</f>
        <v>0</v>
      </c>
      <c r="AB91" s="14">
        <f>IF(AQ91="1",BH91,0)</f>
        <v>0</v>
      </c>
      <c r="AC91" s="14">
        <f>IF(AQ91="1",BI91,0)</f>
        <v>0</v>
      </c>
      <c r="AD91" s="14">
        <f>IF(AQ91="7",BH91,0)</f>
        <v>0</v>
      </c>
      <c r="AE91" s="14">
        <f>IF(AQ91="7",BI91,0)</f>
        <v>0</v>
      </c>
      <c r="AF91" s="14">
        <f>IF(AQ91="2",BH91,0)</f>
        <v>0</v>
      </c>
      <c r="AG91" s="14">
        <f>IF(AQ91="2",BI91,0)</f>
        <v>0</v>
      </c>
      <c r="AH91" s="14">
        <f>IF(AQ91="0",BJ91,0)</f>
        <v>0</v>
      </c>
      <c r="AI91" s="46" t="s">
        <v>18</v>
      </c>
      <c r="AJ91" s="14">
        <f>IF(AN91=0,I91,0)</f>
        <v>0</v>
      </c>
      <c r="AK91" s="14">
        <f>IF(AN91=12,I91,0)</f>
        <v>0</v>
      </c>
      <c r="AL91" s="14">
        <f>IF(AN91=21,I91,0)</f>
        <v>0</v>
      </c>
      <c r="AN91" s="14">
        <v>21</v>
      </c>
      <c r="AO91" s="14">
        <f>H91*0.386792962</f>
        <v>0</v>
      </c>
      <c r="AP91" s="14">
        <f>H91*(1-0.386792962)</f>
        <v>0</v>
      </c>
      <c r="AQ91" s="13" t="s">
        <v>145</v>
      </c>
      <c r="AV91" s="14">
        <f>AW91+AX91</f>
        <v>0</v>
      </c>
      <c r="AW91" s="14">
        <f>G91*AO91</f>
        <v>0</v>
      </c>
      <c r="AX91" s="14">
        <f>G91*AP91</f>
        <v>0</v>
      </c>
      <c r="AY91" s="13" t="s">
        <v>269</v>
      </c>
      <c r="AZ91" s="13" t="s">
        <v>270</v>
      </c>
      <c r="BA91" s="46" t="s">
        <v>151</v>
      </c>
      <c r="BC91" s="14">
        <f>AW91+AX91</f>
        <v>0</v>
      </c>
      <c r="BD91" s="14">
        <f>H91/(100-BE91)*100</f>
        <v>0</v>
      </c>
      <c r="BE91" s="14">
        <v>0</v>
      </c>
      <c r="BF91" s="14">
        <f>91</f>
        <v>91</v>
      </c>
      <c r="BH91" s="14">
        <f>G91*AO91</f>
        <v>0</v>
      </c>
      <c r="BI91" s="14">
        <f>G91*AP91</f>
        <v>0</v>
      </c>
      <c r="BJ91" s="14">
        <f>G91*H91</f>
        <v>0</v>
      </c>
      <c r="BK91" s="14"/>
      <c r="BL91" s="14">
        <v>63</v>
      </c>
      <c r="BW91" s="14">
        <v>21</v>
      </c>
      <c r="BX91" s="4" t="s">
        <v>275</v>
      </c>
    </row>
    <row r="92" spans="1:76" x14ac:dyDescent="0.25">
      <c r="A92" s="60"/>
      <c r="D92" s="61" t="s">
        <v>276</v>
      </c>
      <c r="E92" s="61" t="s">
        <v>18</v>
      </c>
      <c r="G92" s="62">
        <v>0</v>
      </c>
      <c r="K92" s="52"/>
    </row>
    <row r="93" spans="1:76" x14ac:dyDescent="0.25">
      <c r="A93" s="60"/>
      <c r="D93" s="61" t="s">
        <v>277</v>
      </c>
      <c r="E93" s="61" t="s">
        <v>18</v>
      </c>
      <c r="G93" s="62">
        <v>19.399999999999999</v>
      </c>
      <c r="K93" s="52"/>
    </row>
    <row r="94" spans="1:76" x14ac:dyDescent="0.25">
      <c r="A94" s="57" t="s">
        <v>18</v>
      </c>
      <c r="B94" s="58" t="s">
        <v>18</v>
      </c>
      <c r="C94" s="58" t="s">
        <v>44</v>
      </c>
      <c r="D94" s="144" t="s">
        <v>45</v>
      </c>
      <c r="E94" s="145"/>
      <c r="F94" s="59" t="s">
        <v>3</v>
      </c>
      <c r="G94" s="59" t="s">
        <v>3</v>
      </c>
      <c r="H94" s="59" t="s">
        <v>3</v>
      </c>
      <c r="I94" s="39">
        <f>SUM(I95:I97)</f>
        <v>0</v>
      </c>
      <c r="K94" s="52"/>
      <c r="AI94" s="46" t="s">
        <v>18</v>
      </c>
      <c r="AS94" s="39">
        <f>SUM(AJ95:AJ97)</f>
        <v>0</v>
      </c>
      <c r="AT94" s="39">
        <f>SUM(AK95:AK97)</f>
        <v>0</v>
      </c>
      <c r="AU94" s="39">
        <f>SUM(AL95:AL97)</f>
        <v>0</v>
      </c>
    </row>
    <row r="95" spans="1:76" x14ac:dyDescent="0.25">
      <c r="A95" s="1" t="s">
        <v>32</v>
      </c>
      <c r="B95" s="2" t="s">
        <v>18</v>
      </c>
      <c r="C95" s="2" t="s">
        <v>278</v>
      </c>
      <c r="D95" s="74" t="s">
        <v>279</v>
      </c>
      <c r="E95" s="69"/>
      <c r="F95" s="2" t="s">
        <v>183</v>
      </c>
      <c r="G95" s="14">
        <v>16</v>
      </c>
      <c r="H95" s="14">
        <v>0</v>
      </c>
      <c r="I95" s="14">
        <f>G95*H95</f>
        <v>0</v>
      </c>
      <c r="K95" s="52"/>
      <c r="Z95" s="14">
        <f>IF(AQ95="5",BJ95,0)</f>
        <v>0</v>
      </c>
      <c r="AB95" s="14">
        <f>IF(AQ95="1",BH95,0)</f>
        <v>0</v>
      </c>
      <c r="AC95" s="14">
        <f>IF(AQ95="1",BI95,0)</f>
        <v>0</v>
      </c>
      <c r="AD95" s="14">
        <f>IF(AQ95="7",BH95,0)</f>
        <v>0</v>
      </c>
      <c r="AE95" s="14">
        <f>IF(AQ95="7",BI95,0)</f>
        <v>0</v>
      </c>
      <c r="AF95" s="14">
        <f>IF(AQ95="2",BH95,0)</f>
        <v>0</v>
      </c>
      <c r="AG95" s="14">
        <f>IF(AQ95="2",BI95,0)</f>
        <v>0</v>
      </c>
      <c r="AH95" s="14">
        <f>IF(AQ95="0",BJ95,0)</f>
        <v>0</v>
      </c>
      <c r="AI95" s="46" t="s">
        <v>18</v>
      </c>
      <c r="AJ95" s="14">
        <f>IF(AN95=0,I95,0)</f>
        <v>0</v>
      </c>
      <c r="AK95" s="14">
        <f>IF(AN95=12,I95,0)</f>
        <v>0</v>
      </c>
      <c r="AL95" s="14">
        <f>IF(AN95=21,I95,0)</f>
        <v>0</v>
      </c>
      <c r="AN95" s="14">
        <v>21</v>
      </c>
      <c r="AO95" s="14">
        <f>H95*0.526136729</f>
        <v>0</v>
      </c>
      <c r="AP95" s="14">
        <f>H95*(1-0.526136729)</f>
        <v>0</v>
      </c>
      <c r="AQ95" s="13" t="s">
        <v>145</v>
      </c>
      <c r="AV95" s="14">
        <f>AW95+AX95</f>
        <v>0</v>
      </c>
      <c r="AW95" s="14">
        <f>G95*AO95</f>
        <v>0</v>
      </c>
      <c r="AX95" s="14">
        <f>G95*AP95</f>
        <v>0</v>
      </c>
      <c r="AY95" s="13" t="s">
        <v>280</v>
      </c>
      <c r="AZ95" s="13" t="s">
        <v>281</v>
      </c>
      <c r="BA95" s="46" t="s">
        <v>151</v>
      </c>
      <c r="BC95" s="14">
        <f>AW95+AX95</f>
        <v>0</v>
      </c>
      <c r="BD95" s="14">
        <f>H95/(100-BE95)*100</f>
        <v>0</v>
      </c>
      <c r="BE95" s="14">
        <v>0</v>
      </c>
      <c r="BF95" s="14">
        <f>95</f>
        <v>95</v>
      </c>
      <c r="BH95" s="14">
        <f>G95*AO95</f>
        <v>0</v>
      </c>
      <c r="BI95" s="14">
        <f>G95*AP95</f>
        <v>0</v>
      </c>
      <c r="BJ95" s="14">
        <f>G95*H95</f>
        <v>0</v>
      </c>
      <c r="BK95" s="14"/>
      <c r="BL95" s="14">
        <v>91</v>
      </c>
      <c r="BW95" s="14">
        <v>21</v>
      </c>
      <c r="BX95" s="4" t="s">
        <v>279</v>
      </c>
    </row>
    <row r="96" spans="1:76" x14ac:dyDescent="0.25">
      <c r="A96" s="60"/>
      <c r="D96" s="61" t="s">
        <v>282</v>
      </c>
      <c r="E96" s="61" t="s">
        <v>18</v>
      </c>
      <c r="G96" s="62">
        <v>16</v>
      </c>
      <c r="K96" s="52"/>
    </row>
    <row r="97" spans="1:76" x14ac:dyDescent="0.25">
      <c r="A97" s="1" t="s">
        <v>283</v>
      </c>
      <c r="B97" s="2" t="s">
        <v>18</v>
      </c>
      <c r="C97" s="2" t="s">
        <v>284</v>
      </c>
      <c r="D97" s="74" t="s">
        <v>285</v>
      </c>
      <c r="E97" s="69"/>
      <c r="F97" s="2" t="s">
        <v>183</v>
      </c>
      <c r="G97" s="14">
        <v>64.849999999999994</v>
      </c>
      <c r="H97" s="14">
        <v>0</v>
      </c>
      <c r="I97" s="14">
        <f>G97*H97</f>
        <v>0</v>
      </c>
      <c r="K97" s="52"/>
      <c r="Z97" s="14">
        <f>IF(AQ97="5",BJ97,0)</f>
        <v>0</v>
      </c>
      <c r="AB97" s="14">
        <f>IF(AQ97="1",BH97,0)</f>
        <v>0</v>
      </c>
      <c r="AC97" s="14">
        <f>IF(AQ97="1",BI97,0)</f>
        <v>0</v>
      </c>
      <c r="AD97" s="14">
        <f>IF(AQ97="7",BH97,0)</f>
        <v>0</v>
      </c>
      <c r="AE97" s="14">
        <f>IF(AQ97="7",BI97,0)</f>
        <v>0</v>
      </c>
      <c r="AF97" s="14">
        <f>IF(AQ97="2",BH97,0)</f>
        <v>0</v>
      </c>
      <c r="AG97" s="14">
        <f>IF(AQ97="2",BI97,0)</f>
        <v>0</v>
      </c>
      <c r="AH97" s="14">
        <f>IF(AQ97="0",BJ97,0)</f>
        <v>0</v>
      </c>
      <c r="AI97" s="46" t="s">
        <v>18</v>
      </c>
      <c r="AJ97" s="14">
        <f>IF(AN97=0,I97,0)</f>
        <v>0</v>
      </c>
      <c r="AK97" s="14">
        <f>IF(AN97=12,I97,0)</f>
        <v>0</v>
      </c>
      <c r="AL97" s="14">
        <f>IF(AN97=21,I97,0)</f>
        <v>0</v>
      </c>
      <c r="AN97" s="14">
        <v>21</v>
      </c>
      <c r="AO97" s="14">
        <f>H97*0.656085714</f>
        <v>0</v>
      </c>
      <c r="AP97" s="14">
        <f>H97*(1-0.656085714)</f>
        <v>0</v>
      </c>
      <c r="AQ97" s="13" t="s">
        <v>145</v>
      </c>
      <c r="AV97" s="14">
        <f>AW97+AX97</f>
        <v>0</v>
      </c>
      <c r="AW97" s="14">
        <f>G97*AO97</f>
        <v>0</v>
      </c>
      <c r="AX97" s="14">
        <f>G97*AP97</f>
        <v>0</v>
      </c>
      <c r="AY97" s="13" t="s">
        <v>280</v>
      </c>
      <c r="AZ97" s="13" t="s">
        <v>281</v>
      </c>
      <c r="BA97" s="46" t="s">
        <v>151</v>
      </c>
      <c r="BC97" s="14">
        <f>AW97+AX97</f>
        <v>0</v>
      </c>
      <c r="BD97" s="14">
        <f>H97/(100-BE97)*100</f>
        <v>0</v>
      </c>
      <c r="BE97" s="14">
        <v>0</v>
      </c>
      <c r="BF97" s="14">
        <f>97</f>
        <v>97</v>
      </c>
      <c r="BH97" s="14">
        <f>G97*AO97</f>
        <v>0</v>
      </c>
      <c r="BI97" s="14">
        <f>G97*AP97</f>
        <v>0</v>
      </c>
      <c r="BJ97" s="14">
        <f>G97*H97</f>
        <v>0</v>
      </c>
      <c r="BK97" s="14"/>
      <c r="BL97" s="14">
        <v>91</v>
      </c>
      <c r="BW97" s="14">
        <v>21</v>
      </c>
      <c r="BX97" s="4" t="s">
        <v>285</v>
      </c>
    </row>
    <row r="98" spans="1:76" ht="13.5" customHeight="1" x14ac:dyDescent="0.25">
      <c r="A98" s="60"/>
      <c r="C98" s="63" t="s">
        <v>231</v>
      </c>
      <c r="D98" s="147" t="s">
        <v>286</v>
      </c>
      <c r="E98" s="148"/>
      <c r="F98" s="148"/>
      <c r="G98" s="148"/>
      <c r="H98" s="148"/>
      <c r="I98" s="148"/>
      <c r="J98" s="148"/>
      <c r="K98" s="149"/>
    </row>
    <row r="99" spans="1:76" x14ac:dyDescent="0.25">
      <c r="A99" s="60"/>
      <c r="D99" s="61" t="s">
        <v>184</v>
      </c>
      <c r="E99" s="61" t="s">
        <v>18</v>
      </c>
      <c r="G99" s="62">
        <v>37</v>
      </c>
      <c r="K99" s="52"/>
    </row>
    <row r="100" spans="1:76" x14ac:dyDescent="0.25">
      <c r="A100" s="60"/>
      <c r="D100" s="61" t="s">
        <v>185</v>
      </c>
      <c r="E100" s="61" t="s">
        <v>18</v>
      </c>
      <c r="G100" s="62">
        <v>27.85</v>
      </c>
      <c r="K100" s="52"/>
    </row>
    <row r="101" spans="1:76" x14ac:dyDescent="0.25">
      <c r="A101" s="57" t="s">
        <v>18</v>
      </c>
      <c r="B101" s="58" t="s">
        <v>18</v>
      </c>
      <c r="C101" s="58" t="s">
        <v>46</v>
      </c>
      <c r="D101" s="144" t="s">
        <v>47</v>
      </c>
      <c r="E101" s="145"/>
      <c r="F101" s="59" t="s">
        <v>3</v>
      </c>
      <c r="G101" s="59" t="s">
        <v>3</v>
      </c>
      <c r="H101" s="59" t="s">
        <v>3</v>
      </c>
      <c r="I101" s="39">
        <f>SUM(I102:I102)</f>
        <v>0</v>
      </c>
      <c r="K101" s="52"/>
      <c r="AI101" s="46" t="s">
        <v>18</v>
      </c>
      <c r="AS101" s="39">
        <f>SUM(AJ102:AJ102)</f>
        <v>0</v>
      </c>
      <c r="AT101" s="39">
        <f>SUM(AK102:AK102)</f>
        <v>0</v>
      </c>
      <c r="AU101" s="39">
        <f>SUM(AL102:AL102)</f>
        <v>0</v>
      </c>
    </row>
    <row r="102" spans="1:76" x14ac:dyDescent="0.25">
      <c r="A102" s="1" t="s">
        <v>287</v>
      </c>
      <c r="B102" s="2" t="s">
        <v>18</v>
      </c>
      <c r="C102" s="2" t="s">
        <v>288</v>
      </c>
      <c r="D102" s="74" t="s">
        <v>289</v>
      </c>
      <c r="E102" s="69"/>
      <c r="F102" s="2" t="s">
        <v>183</v>
      </c>
      <c r="G102" s="14">
        <v>13.5</v>
      </c>
      <c r="H102" s="14">
        <v>0</v>
      </c>
      <c r="I102" s="14">
        <f>G102*H102</f>
        <v>0</v>
      </c>
      <c r="K102" s="52"/>
      <c r="Z102" s="14">
        <f>IF(AQ102="5",BJ102,0)</f>
        <v>0</v>
      </c>
      <c r="AB102" s="14">
        <f>IF(AQ102="1",BH102,0)</f>
        <v>0</v>
      </c>
      <c r="AC102" s="14">
        <f>IF(AQ102="1",BI102,0)</f>
        <v>0</v>
      </c>
      <c r="AD102" s="14">
        <f>IF(AQ102="7",BH102,0)</f>
        <v>0</v>
      </c>
      <c r="AE102" s="14">
        <f>IF(AQ102="7",BI102,0)</f>
        <v>0</v>
      </c>
      <c r="AF102" s="14">
        <f>IF(AQ102="2",BH102,0)</f>
        <v>0</v>
      </c>
      <c r="AG102" s="14">
        <f>IF(AQ102="2",BI102,0)</f>
        <v>0</v>
      </c>
      <c r="AH102" s="14">
        <f>IF(AQ102="0",BJ102,0)</f>
        <v>0</v>
      </c>
      <c r="AI102" s="46" t="s">
        <v>18</v>
      </c>
      <c r="AJ102" s="14">
        <f>IF(AN102=0,I102,0)</f>
        <v>0</v>
      </c>
      <c r="AK102" s="14">
        <f>IF(AN102=12,I102,0)</f>
        <v>0</v>
      </c>
      <c r="AL102" s="14">
        <f>IF(AN102=21,I102,0)</f>
        <v>0</v>
      </c>
      <c r="AN102" s="14">
        <v>21</v>
      </c>
      <c r="AO102" s="14">
        <f>H102*0.247666667</f>
        <v>0</v>
      </c>
      <c r="AP102" s="14">
        <f>H102*(1-0.247666667)</f>
        <v>0</v>
      </c>
      <c r="AQ102" s="13" t="s">
        <v>145</v>
      </c>
      <c r="AV102" s="14">
        <f>AW102+AX102</f>
        <v>0</v>
      </c>
      <c r="AW102" s="14">
        <f>G102*AO102</f>
        <v>0</v>
      </c>
      <c r="AX102" s="14">
        <f>G102*AP102</f>
        <v>0</v>
      </c>
      <c r="AY102" s="13" t="s">
        <v>290</v>
      </c>
      <c r="AZ102" s="13" t="s">
        <v>281</v>
      </c>
      <c r="BA102" s="46" t="s">
        <v>151</v>
      </c>
      <c r="BC102" s="14">
        <f>AW102+AX102</f>
        <v>0</v>
      </c>
      <c r="BD102" s="14">
        <f>H102/(100-BE102)*100</f>
        <v>0</v>
      </c>
      <c r="BE102" s="14">
        <v>0</v>
      </c>
      <c r="BF102" s="14">
        <f>102</f>
        <v>102</v>
      </c>
      <c r="BH102" s="14">
        <f>G102*AO102</f>
        <v>0</v>
      </c>
      <c r="BI102" s="14">
        <f>G102*AP102</f>
        <v>0</v>
      </c>
      <c r="BJ102" s="14">
        <f>G102*H102</f>
        <v>0</v>
      </c>
      <c r="BK102" s="14"/>
      <c r="BL102" s="14">
        <v>93</v>
      </c>
      <c r="BW102" s="14">
        <v>21</v>
      </c>
      <c r="BX102" s="4" t="s">
        <v>289</v>
      </c>
    </row>
    <row r="103" spans="1:76" x14ac:dyDescent="0.25">
      <c r="A103" s="57" t="s">
        <v>18</v>
      </c>
      <c r="B103" s="58" t="s">
        <v>18</v>
      </c>
      <c r="C103" s="58" t="s">
        <v>48</v>
      </c>
      <c r="D103" s="144" t="s">
        <v>49</v>
      </c>
      <c r="E103" s="145"/>
      <c r="F103" s="59" t="s">
        <v>3</v>
      </c>
      <c r="G103" s="59" t="s">
        <v>3</v>
      </c>
      <c r="H103" s="59" t="s">
        <v>3</v>
      </c>
      <c r="I103" s="39">
        <f>SUM(I104:I105)</f>
        <v>0</v>
      </c>
      <c r="K103" s="52"/>
      <c r="AI103" s="46" t="s">
        <v>18</v>
      </c>
      <c r="AS103" s="39">
        <f>SUM(AJ104:AJ105)</f>
        <v>0</v>
      </c>
      <c r="AT103" s="39">
        <f>SUM(AK104:AK105)</f>
        <v>0</v>
      </c>
      <c r="AU103" s="39">
        <f>SUM(AL104:AL105)</f>
        <v>0</v>
      </c>
    </row>
    <row r="104" spans="1:76" x14ac:dyDescent="0.25">
      <c r="A104" s="1" t="s">
        <v>291</v>
      </c>
      <c r="B104" s="2" t="s">
        <v>18</v>
      </c>
      <c r="C104" s="2" t="s">
        <v>292</v>
      </c>
      <c r="D104" s="74" t="s">
        <v>293</v>
      </c>
      <c r="E104" s="69"/>
      <c r="F104" s="2" t="s">
        <v>294</v>
      </c>
      <c r="G104" s="14">
        <v>50</v>
      </c>
      <c r="H104" s="14">
        <v>0</v>
      </c>
      <c r="I104" s="14">
        <f>G104*H104</f>
        <v>0</v>
      </c>
      <c r="K104" s="52"/>
      <c r="Z104" s="14">
        <f>IF(AQ104="5",BJ104,0)</f>
        <v>0</v>
      </c>
      <c r="AB104" s="14">
        <f>IF(AQ104="1",BH104,0)</f>
        <v>0</v>
      </c>
      <c r="AC104" s="14">
        <f>IF(AQ104="1",BI104,0)</f>
        <v>0</v>
      </c>
      <c r="AD104" s="14">
        <f>IF(AQ104="7",BH104,0)</f>
        <v>0</v>
      </c>
      <c r="AE104" s="14">
        <f>IF(AQ104="7",BI104,0)</f>
        <v>0</v>
      </c>
      <c r="AF104" s="14">
        <f>IF(AQ104="2",BH104,0)</f>
        <v>0</v>
      </c>
      <c r="AG104" s="14">
        <f>IF(AQ104="2",BI104,0)</f>
        <v>0</v>
      </c>
      <c r="AH104" s="14">
        <f>IF(AQ104="0",BJ104,0)</f>
        <v>0</v>
      </c>
      <c r="AI104" s="46" t="s">
        <v>18</v>
      </c>
      <c r="AJ104" s="14">
        <f>IF(AN104=0,I104,0)</f>
        <v>0</v>
      </c>
      <c r="AK104" s="14">
        <f>IF(AN104=12,I104,0)</f>
        <v>0</v>
      </c>
      <c r="AL104" s="14">
        <f>IF(AN104=21,I104,0)</f>
        <v>0</v>
      </c>
      <c r="AN104" s="14">
        <v>21</v>
      </c>
      <c r="AO104" s="14">
        <f>H104*0.535533981</f>
        <v>0</v>
      </c>
      <c r="AP104" s="14">
        <f>H104*(1-0.535533981)</f>
        <v>0</v>
      </c>
      <c r="AQ104" s="13" t="s">
        <v>145</v>
      </c>
      <c r="AV104" s="14">
        <f>AW104+AX104</f>
        <v>0</v>
      </c>
      <c r="AW104" s="14">
        <f>G104*AO104</f>
        <v>0</v>
      </c>
      <c r="AX104" s="14">
        <f>G104*AP104</f>
        <v>0</v>
      </c>
      <c r="AY104" s="13" t="s">
        <v>295</v>
      </c>
      <c r="AZ104" s="13" t="s">
        <v>281</v>
      </c>
      <c r="BA104" s="46" t="s">
        <v>151</v>
      </c>
      <c r="BC104" s="14">
        <f>AW104+AX104</f>
        <v>0</v>
      </c>
      <c r="BD104" s="14">
        <f>H104/(100-BE104)*100</f>
        <v>0</v>
      </c>
      <c r="BE104" s="14">
        <v>0</v>
      </c>
      <c r="BF104" s="14">
        <f>104</f>
        <v>104</v>
      </c>
      <c r="BH104" s="14">
        <f>G104*AO104</f>
        <v>0</v>
      </c>
      <c r="BI104" s="14">
        <f>G104*AP104</f>
        <v>0</v>
      </c>
      <c r="BJ104" s="14">
        <f>G104*H104</f>
        <v>0</v>
      </c>
      <c r="BK104" s="14"/>
      <c r="BL104" s="14">
        <v>95</v>
      </c>
      <c r="BW104" s="14">
        <v>21</v>
      </c>
      <c r="BX104" s="4" t="s">
        <v>293</v>
      </c>
    </row>
    <row r="105" spans="1:76" x14ac:dyDescent="0.25">
      <c r="A105" s="1" t="s">
        <v>296</v>
      </c>
      <c r="B105" s="2" t="s">
        <v>18</v>
      </c>
      <c r="C105" s="2" t="s">
        <v>297</v>
      </c>
      <c r="D105" s="74" t="s">
        <v>298</v>
      </c>
      <c r="E105" s="69"/>
      <c r="F105" s="2" t="s">
        <v>223</v>
      </c>
      <c r="G105" s="14">
        <v>93.090999999999994</v>
      </c>
      <c r="H105" s="14">
        <v>0</v>
      </c>
      <c r="I105" s="14">
        <f>G105*H105</f>
        <v>0</v>
      </c>
      <c r="K105" s="52"/>
      <c r="Z105" s="14">
        <f>IF(AQ105="5",BJ105,0)</f>
        <v>0</v>
      </c>
      <c r="AB105" s="14">
        <f>IF(AQ105="1",BH105,0)</f>
        <v>0</v>
      </c>
      <c r="AC105" s="14">
        <f>IF(AQ105="1",BI105,0)</f>
        <v>0</v>
      </c>
      <c r="AD105" s="14">
        <f>IF(AQ105="7",BH105,0)</f>
        <v>0</v>
      </c>
      <c r="AE105" s="14">
        <f>IF(AQ105="7",BI105,0)</f>
        <v>0</v>
      </c>
      <c r="AF105" s="14">
        <f>IF(AQ105="2",BH105,0)</f>
        <v>0</v>
      </c>
      <c r="AG105" s="14">
        <f>IF(AQ105="2",BI105,0)</f>
        <v>0</v>
      </c>
      <c r="AH105" s="14">
        <f>IF(AQ105="0",BJ105,0)</f>
        <v>0</v>
      </c>
      <c r="AI105" s="46" t="s">
        <v>18</v>
      </c>
      <c r="AJ105" s="14">
        <f>IF(AN105=0,I105,0)</f>
        <v>0</v>
      </c>
      <c r="AK105" s="14">
        <f>IF(AN105=12,I105,0)</f>
        <v>0</v>
      </c>
      <c r="AL105" s="14">
        <f>IF(AN105=21,I105,0)</f>
        <v>0</v>
      </c>
      <c r="AN105" s="14">
        <v>21</v>
      </c>
      <c r="AO105" s="14">
        <f>H105*0</f>
        <v>0</v>
      </c>
      <c r="AP105" s="14">
        <f>H105*(1-0)</f>
        <v>0</v>
      </c>
      <c r="AQ105" s="13" t="s">
        <v>161</v>
      </c>
      <c r="AV105" s="14">
        <f>AW105+AX105</f>
        <v>0</v>
      </c>
      <c r="AW105" s="14">
        <f>G105*AO105</f>
        <v>0</v>
      </c>
      <c r="AX105" s="14">
        <f>G105*AP105</f>
        <v>0</v>
      </c>
      <c r="AY105" s="13" t="s">
        <v>295</v>
      </c>
      <c r="AZ105" s="13" t="s">
        <v>281</v>
      </c>
      <c r="BA105" s="46" t="s">
        <v>151</v>
      </c>
      <c r="BC105" s="14">
        <f>AW105+AX105</f>
        <v>0</v>
      </c>
      <c r="BD105" s="14">
        <f>H105/(100-BE105)*100</f>
        <v>0</v>
      </c>
      <c r="BE105" s="14">
        <v>0</v>
      </c>
      <c r="BF105" s="14">
        <f>105</f>
        <v>105</v>
      </c>
      <c r="BH105" s="14">
        <f>G105*AO105</f>
        <v>0</v>
      </c>
      <c r="BI105" s="14">
        <f>G105*AP105</f>
        <v>0</v>
      </c>
      <c r="BJ105" s="14">
        <f>G105*H105</f>
        <v>0</v>
      </c>
      <c r="BK105" s="14"/>
      <c r="BL105" s="14">
        <v>95</v>
      </c>
      <c r="BW105" s="14">
        <v>21</v>
      </c>
      <c r="BX105" s="4" t="s">
        <v>298</v>
      </c>
    </row>
    <row r="106" spans="1:76" x14ac:dyDescent="0.25">
      <c r="A106" s="57" t="s">
        <v>18</v>
      </c>
      <c r="B106" s="58" t="s">
        <v>18</v>
      </c>
      <c r="C106" s="58" t="s">
        <v>50</v>
      </c>
      <c r="D106" s="144" t="s">
        <v>51</v>
      </c>
      <c r="E106" s="145"/>
      <c r="F106" s="59" t="s">
        <v>3</v>
      </c>
      <c r="G106" s="59" t="s">
        <v>3</v>
      </c>
      <c r="H106" s="59" t="s">
        <v>3</v>
      </c>
      <c r="I106" s="39">
        <f>SUM(I107:I107)</f>
        <v>0</v>
      </c>
      <c r="K106" s="52"/>
      <c r="AI106" s="46" t="s">
        <v>18</v>
      </c>
      <c r="AS106" s="39">
        <f>SUM(AJ107:AJ107)</f>
        <v>0</v>
      </c>
      <c r="AT106" s="39">
        <f>SUM(AK107:AK107)</f>
        <v>0</v>
      </c>
      <c r="AU106" s="39">
        <f>SUM(AL107:AL107)</f>
        <v>0</v>
      </c>
    </row>
    <row r="107" spans="1:76" x14ac:dyDescent="0.25">
      <c r="A107" s="1" t="s">
        <v>34</v>
      </c>
      <c r="B107" s="2" t="s">
        <v>18</v>
      </c>
      <c r="C107" s="2" t="s">
        <v>299</v>
      </c>
      <c r="D107" s="74" t="s">
        <v>300</v>
      </c>
      <c r="E107" s="69"/>
      <c r="F107" s="2" t="s">
        <v>192</v>
      </c>
      <c r="G107" s="14">
        <v>11.228</v>
      </c>
      <c r="H107" s="14">
        <v>0</v>
      </c>
      <c r="I107" s="14">
        <f>G107*H107</f>
        <v>0</v>
      </c>
      <c r="K107" s="52"/>
      <c r="Z107" s="14">
        <f>IF(AQ107="5",BJ107,0)</f>
        <v>0</v>
      </c>
      <c r="AB107" s="14">
        <f>IF(AQ107="1",BH107,0)</f>
        <v>0</v>
      </c>
      <c r="AC107" s="14">
        <f>IF(AQ107="1",BI107,0)</f>
        <v>0</v>
      </c>
      <c r="AD107" s="14">
        <f>IF(AQ107="7",BH107,0)</f>
        <v>0</v>
      </c>
      <c r="AE107" s="14">
        <f>IF(AQ107="7",BI107,0)</f>
        <v>0</v>
      </c>
      <c r="AF107" s="14">
        <f>IF(AQ107="2",BH107,0)</f>
        <v>0</v>
      </c>
      <c r="AG107" s="14">
        <f>IF(AQ107="2",BI107,0)</f>
        <v>0</v>
      </c>
      <c r="AH107" s="14">
        <f>IF(AQ107="0",BJ107,0)</f>
        <v>0</v>
      </c>
      <c r="AI107" s="46" t="s">
        <v>18</v>
      </c>
      <c r="AJ107" s="14">
        <f>IF(AN107=0,I107,0)</f>
        <v>0</v>
      </c>
      <c r="AK107" s="14">
        <f>IF(AN107=12,I107,0)</f>
        <v>0</v>
      </c>
      <c r="AL107" s="14">
        <f>IF(AN107=21,I107,0)</f>
        <v>0</v>
      </c>
      <c r="AN107" s="14">
        <v>21</v>
      </c>
      <c r="AO107" s="14">
        <f>H107*0.013686357</f>
        <v>0</v>
      </c>
      <c r="AP107" s="14">
        <f>H107*(1-0.013686357)</f>
        <v>0</v>
      </c>
      <c r="AQ107" s="13" t="s">
        <v>145</v>
      </c>
      <c r="AV107" s="14">
        <f>AW107+AX107</f>
        <v>0</v>
      </c>
      <c r="AW107" s="14">
        <f>G107*AO107</f>
        <v>0</v>
      </c>
      <c r="AX107" s="14">
        <f>G107*AP107</f>
        <v>0</v>
      </c>
      <c r="AY107" s="13" t="s">
        <v>301</v>
      </c>
      <c r="AZ107" s="13" t="s">
        <v>281</v>
      </c>
      <c r="BA107" s="46" t="s">
        <v>151</v>
      </c>
      <c r="BC107" s="14">
        <f>AW107+AX107</f>
        <v>0</v>
      </c>
      <c r="BD107" s="14">
        <f>H107/(100-BE107)*100</f>
        <v>0</v>
      </c>
      <c r="BE107" s="14">
        <v>0</v>
      </c>
      <c r="BF107" s="14">
        <f>107</f>
        <v>107</v>
      </c>
      <c r="BH107" s="14">
        <f>G107*AO107</f>
        <v>0</v>
      </c>
      <c r="BI107" s="14">
        <f>G107*AP107</f>
        <v>0</v>
      </c>
      <c r="BJ107" s="14">
        <f>G107*H107</f>
        <v>0</v>
      </c>
      <c r="BK107" s="14"/>
      <c r="BL107" s="14">
        <v>96</v>
      </c>
      <c r="BW107" s="14">
        <v>21</v>
      </c>
      <c r="BX107" s="4" t="s">
        <v>300</v>
      </c>
    </row>
    <row r="108" spans="1:76" x14ac:dyDescent="0.25">
      <c r="A108" s="60"/>
      <c r="D108" s="61" t="s">
        <v>302</v>
      </c>
      <c r="E108" s="61" t="s">
        <v>18</v>
      </c>
      <c r="G108" s="62">
        <v>5.66</v>
      </c>
      <c r="K108" s="52"/>
    </row>
    <row r="109" spans="1:76" x14ac:dyDescent="0.25">
      <c r="A109" s="60"/>
      <c r="D109" s="61" t="s">
        <v>303</v>
      </c>
      <c r="E109" s="61" t="s">
        <v>18</v>
      </c>
      <c r="G109" s="62">
        <v>1.228</v>
      </c>
      <c r="K109" s="52"/>
    </row>
    <row r="110" spans="1:76" x14ac:dyDescent="0.25">
      <c r="A110" s="60"/>
      <c r="D110" s="61" t="s">
        <v>304</v>
      </c>
      <c r="E110" s="61" t="s">
        <v>18</v>
      </c>
      <c r="G110" s="62">
        <v>1.78</v>
      </c>
      <c r="K110" s="52"/>
    </row>
    <row r="111" spans="1:76" x14ac:dyDescent="0.25">
      <c r="A111" s="60"/>
      <c r="D111" s="61" t="s">
        <v>305</v>
      </c>
      <c r="E111" s="61" t="s">
        <v>18</v>
      </c>
      <c r="G111" s="62">
        <v>0</v>
      </c>
      <c r="K111" s="52"/>
    </row>
    <row r="112" spans="1:76" x14ac:dyDescent="0.25">
      <c r="A112" s="60"/>
      <c r="D112" s="61" t="s">
        <v>306</v>
      </c>
      <c r="E112" s="61" t="s">
        <v>18</v>
      </c>
      <c r="G112" s="62">
        <v>2.56</v>
      </c>
      <c r="K112" s="52"/>
    </row>
    <row r="113" spans="1:76" x14ac:dyDescent="0.25">
      <c r="A113" s="57" t="s">
        <v>18</v>
      </c>
      <c r="B113" s="58" t="s">
        <v>18</v>
      </c>
      <c r="C113" s="58" t="s">
        <v>52</v>
      </c>
      <c r="D113" s="144" t="s">
        <v>53</v>
      </c>
      <c r="E113" s="145"/>
      <c r="F113" s="59" t="s">
        <v>3</v>
      </c>
      <c r="G113" s="59" t="s">
        <v>3</v>
      </c>
      <c r="H113" s="59" t="s">
        <v>3</v>
      </c>
      <c r="I113" s="39">
        <f>SUM(I114:I116)</f>
        <v>0</v>
      </c>
      <c r="K113" s="52"/>
      <c r="AI113" s="46" t="s">
        <v>18</v>
      </c>
      <c r="AS113" s="39">
        <f>SUM(AJ114:AJ116)</f>
        <v>0</v>
      </c>
      <c r="AT113" s="39">
        <f>SUM(AK114:AK116)</f>
        <v>0</v>
      </c>
      <c r="AU113" s="39">
        <f>SUM(AL114:AL116)</f>
        <v>0</v>
      </c>
    </row>
    <row r="114" spans="1:76" x14ac:dyDescent="0.25">
      <c r="A114" s="1" t="s">
        <v>307</v>
      </c>
      <c r="B114" s="2" t="s">
        <v>18</v>
      </c>
      <c r="C114" s="2" t="s">
        <v>308</v>
      </c>
      <c r="D114" s="74" t="s">
        <v>309</v>
      </c>
      <c r="E114" s="69"/>
      <c r="F114" s="2" t="s">
        <v>183</v>
      </c>
      <c r="G114" s="14">
        <v>24.25</v>
      </c>
      <c r="H114" s="14">
        <v>0</v>
      </c>
      <c r="I114" s="14">
        <f>G114*H114</f>
        <v>0</v>
      </c>
      <c r="K114" s="52"/>
      <c r="Z114" s="14">
        <f>IF(AQ114="5",BJ114,0)</f>
        <v>0</v>
      </c>
      <c r="AB114" s="14">
        <f>IF(AQ114="1",BH114,0)</f>
        <v>0</v>
      </c>
      <c r="AC114" s="14">
        <f>IF(AQ114="1",BI114,0)</f>
        <v>0</v>
      </c>
      <c r="AD114" s="14">
        <f>IF(AQ114="7",BH114,0)</f>
        <v>0</v>
      </c>
      <c r="AE114" s="14">
        <f>IF(AQ114="7",BI114,0)</f>
        <v>0</v>
      </c>
      <c r="AF114" s="14">
        <f>IF(AQ114="2",BH114,0)</f>
        <v>0</v>
      </c>
      <c r="AG114" s="14">
        <f>IF(AQ114="2",BI114,0)</f>
        <v>0</v>
      </c>
      <c r="AH114" s="14">
        <f>IF(AQ114="0",BJ114,0)</f>
        <v>0</v>
      </c>
      <c r="AI114" s="46" t="s">
        <v>18</v>
      </c>
      <c r="AJ114" s="14">
        <f>IF(AN114=0,I114,0)</f>
        <v>0</v>
      </c>
      <c r="AK114" s="14">
        <f>IF(AN114=12,I114,0)</f>
        <v>0</v>
      </c>
      <c r="AL114" s="14">
        <f>IF(AN114=21,I114,0)</f>
        <v>0</v>
      </c>
      <c r="AN114" s="14">
        <v>21</v>
      </c>
      <c r="AO114" s="14">
        <f>H114*0</f>
        <v>0</v>
      </c>
      <c r="AP114" s="14">
        <f>H114*(1-0)</f>
        <v>0</v>
      </c>
      <c r="AQ114" s="13" t="s">
        <v>145</v>
      </c>
      <c r="AV114" s="14">
        <f>AW114+AX114</f>
        <v>0</v>
      </c>
      <c r="AW114" s="14">
        <f>G114*AO114</f>
        <v>0</v>
      </c>
      <c r="AX114" s="14">
        <f>G114*AP114</f>
        <v>0</v>
      </c>
      <c r="AY114" s="13" t="s">
        <v>310</v>
      </c>
      <c r="AZ114" s="13" t="s">
        <v>281</v>
      </c>
      <c r="BA114" s="46" t="s">
        <v>151</v>
      </c>
      <c r="BC114" s="14">
        <f>AW114+AX114</f>
        <v>0</v>
      </c>
      <c r="BD114" s="14">
        <f>H114/(100-BE114)*100</f>
        <v>0</v>
      </c>
      <c r="BE114" s="14">
        <v>0</v>
      </c>
      <c r="BF114" s="14">
        <f>114</f>
        <v>114</v>
      </c>
      <c r="BH114" s="14">
        <f>G114*AO114</f>
        <v>0</v>
      </c>
      <c r="BI114" s="14">
        <f>G114*AP114</f>
        <v>0</v>
      </c>
      <c r="BJ114" s="14">
        <f>G114*H114</f>
        <v>0</v>
      </c>
      <c r="BK114" s="14"/>
      <c r="BL114" s="14">
        <v>97</v>
      </c>
      <c r="BW114" s="14">
        <v>21</v>
      </c>
      <c r="BX114" s="4" t="s">
        <v>309</v>
      </c>
    </row>
    <row r="115" spans="1:76" x14ac:dyDescent="0.25">
      <c r="A115" s="60"/>
      <c r="D115" s="61" t="s">
        <v>311</v>
      </c>
      <c r="E115" s="61" t="s">
        <v>18</v>
      </c>
      <c r="G115" s="62">
        <v>24.25</v>
      </c>
      <c r="K115" s="52"/>
    </row>
    <row r="116" spans="1:76" x14ac:dyDescent="0.25">
      <c r="A116" s="1" t="s">
        <v>36</v>
      </c>
      <c r="B116" s="2" t="s">
        <v>18</v>
      </c>
      <c r="C116" s="2" t="s">
        <v>312</v>
      </c>
      <c r="D116" s="74" t="s">
        <v>313</v>
      </c>
      <c r="E116" s="69"/>
      <c r="F116" s="2" t="s">
        <v>183</v>
      </c>
      <c r="G116" s="14">
        <v>13.5</v>
      </c>
      <c r="H116" s="14">
        <v>0</v>
      </c>
      <c r="I116" s="14">
        <f>G116*H116</f>
        <v>0</v>
      </c>
      <c r="K116" s="52"/>
      <c r="Z116" s="14">
        <f>IF(AQ116="5",BJ116,0)</f>
        <v>0</v>
      </c>
      <c r="AB116" s="14">
        <f>IF(AQ116="1",BH116,0)</f>
        <v>0</v>
      </c>
      <c r="AC116" s="14">
        <f>IF(AQ116="1",BI116,0)</f>
        <v>0</v>
      </c>
      <c r="AD116" s="14">
        <f>IF(AQ116="7",BH116,0)</f>
        <v>0</v>
      </c>
      <c r="AE116" s="14">
        <f>IF(AQ116="7",BI116,0)</f>
        <v>0</v>
      </c>
      <c r="AF116" s="14">
        <f>IF(AQ116="2",BH116,0)</f>
        <v>0</v>
      </c>
      <c r="AG116" s="14">
        <f>IF(AQ116="2",BI116,0)</f>
        <v>0</v>
      </c>
      <c r="AH116" s="14">
        <f>IF(AQ116="0",BJ116,0)</f>
        <v>0</v>
      </c>
      <c r="AI116" s="46" t="s">
        <v>18</v>
      </c>
      <c r="AJ116" s="14">
        <f>IF(AN116=0,I116,0)</f>
        <v>0</v>
      </c>
      <c r="AK116" s="14">
        <f>IF(AN116=12,I116,0)</f>
        <v>0</v>
      </c>
      <c r="AL116" s="14">
        <f>IF(AN116=21,I116,0)</f>
        <v>0</v>
      </c>
      <c r="AN116" s="14">
        <v>21</v>
      </c>
      <c r="AO116" s="14">
        <f>H116*0</f>
        <v>0</v>
      </c>
      <c r="AP116" s="14">
        <f>H116*(1-0)</f>
        <v>0</v>
      </c>
      <c r="AQ116" s="13" t="s">
        <v>145</v>
      </c>
      <c r="AV116" s="14">
        <f>AW116+AX116</f>
        <v>0</v>
      </c>
      <c r="AW116" s="14">
        <f>G116*AO116</f>
        <v>0</v>
      </c>
      <c r="AX116" s="14">
        <f>G116*AP116</f>
        <v>0</v>
      </c>
      <c r="AY116" s="13" t="s">
        <v>310</v>
      </c>
      <c r="AZ116" s="13" t="s">
        <v>281</v>
      </c>
      <c r="BA116" s="46" t="s">
        <v>151</v>
      </c>
      <c r="BC116" s="14">
        <f>AW116+AX116</f>
        <v>0</v>
      </c>
      <c r="BD116" s="14">
        <f>H116/(100-BE116)*100</f>
        <v>0</v>
      </c>
      <c r="BE116" s="14">
        <v>0</v>
      </c>
      <c r="BF116" s="14">
        <f>116</f>
        <v>116</v>
      </c>
      <c r="BH116" s="14">
        <f>G116*AO116</f>
        <v>0</v>
      </c>
      <c r="BI116" s="14">
        <f>G116*AP116</f>
        <v>0</v>
      </c>
      <c r="BJ116" s="14">
        <f>G116*H116</f>
        <v>0</v>
      </c>
      <c r="BK116" s="14"/>
      <c r="BL116" s="14">
        <v>97</v>
      </c>
      <c r="BW116" s="14">
        <v>21</v>
      </c>
      <c r="BX116" s="4" t="s">
        <v>313</v>
      </c>
    </row>
    <row r="117" spans="1:76" x14ac:dyDescent="0.25">
      <c r="A117" s="57" t="s">
        <v>18</v>
      </c>
      <c r="B117" s="58" t="s">
        <v>18</v>
      </c>
      <c r="C117" s="58" t="s">
        <v>54</v>
      </c>
      <c r="D117" s="144" t="s">
        <v>55</v>
      </c>
      <c r="E117" s="145"/>
      <c r="F117" s="59" t="s">
        <v>3</v>
      </c>
      <c r="G117" s="59" t="s">
        <v>3</v>
      </c>
      <c r="H117" s="59" t="s">
        <v>3</v>
      </c>
      <c r="I117" s="39">
        <f>SUM(I118:I126)</f>
        <v>0</v>
      </c>
      <c r="K117" s="52"/>
      <c r="AI117" s="46" t="s">
        <v>18</v>
      </c>
      <c r="AS117" s="39">
        <f>SUM(AJ118:AJ126)</f>
        <v>0</v>
      </c>
      <c r="AT117" s="39">
        <f>SUM(AK118:AK126)</f>
        <v>0</v>
      </c>
      <c r="AU117" s="39">
        <f>SUM(AL118:AL126)</f>
        <v>0</v>
      </c>
    </row>
    <row r="118" spans="1:76" x14ac:dyDescent="0.25">
      <c r="A118" s="1" t="s">
        <v>314</v>
      </c>
      <c r="B118" s="2" t="s">
        <v>18</v>
      </c>
      <c r="C118" s="2" t="s">
        <v>315</v>
      </c>
      <c r="D118" s="74" t="s">
        <v>316</v>
      </c>
      <c r="E118" s="69"/>
      <c r="F118" s="2" t="s">
        <v>223</v>
      </c>
      <c r="G118" s="14">
        <v>117.337</v>
      </c>
      <c r="H118" s="14">
        <v>0</v>
      </c>
      <c r="I118" s="14">
        <f>G118*H118</f>
        <v>0</v>
      </c>
      <c r="K118" s="52"/>
      <c r="Z118" s="14">
        <f>IF(AQ118="5",BJ118,0)</f>
        <v>0</v>
      </c>
      <c r="AB118" s="14">
        <f>IF(AQ118="1",BH118,0)</f>
        <v>0</v>
      </c>
      <c r="AC118" s="14">
        <f>IF(AQ118="1",BI118,0)</f>
        <v>0</v>
      </c>
      <c r="AD118" s="14">
        <f>IF(AQ118="7",BH118,0)</f>
        <v>0</v>
      </c>
      <c r="AE118" s="14">
        <f>IF(AQ118="7",BI118,0)</f>
        <v>0</v>
      </c>
      <c r="AF118" s="14">
        <f>IF(AQ118="2",BH118,0)</f>
        <v>0</v>
      </c>
      <c r="AG118" s="14">
        <f>IF(AQ118="2",BI118,0)</f>
        <v>0</v>
      </c>
      <c r="AH118" s="14">
        <f>IF(AQ118="0",BJ118,0)</f>
        <v>0</v>
      </c>
      <c r="AI118" s="46" t="s">
        <v>18</v>
      </c>
      <c r="AJ118" s="14">
        <f>IF(AN118=0,I118,0)</f>
        <v>0</v>
      </c>
      <c r="AK118" s="14">
        <f>IF(AN118=12,I118,0)</f>
        <v>0</v>
      </c>
      <c r="AL118" s="14">
        <f>IF(AN118=21,I118,0)</f>
        <v>0</v>
      </c>
      <c r="AN118" s="14">
        <v>21</v>
      </c>
      <c r="AO118" s="14">
        <f>H118*0</f>
        <v>0</v>
      </c>
      <c r="AP118" s="14">
        <f>H118*(1-0)</f>
        <v>0</v>
      </c>
      <c r="AQ118" s="13" t="s">
        <v>161</v>
      </c>
      <c r="AV118" s="14">
        <f>AW118+AX118</f>
        <v>0</v>
      </c>
      <c r="AW118" s="14">
        <f>G118*AO118</f>
        <v>0</v>
      </c>
      <c r="AX118" s="14">
        <f>G118*AP118</f>
        <v>0</v>
      </c>
      <c r="AY118" s="13" t="s">
        <v>317</v>
      </c>
      <c r="AZ118" s="13" t="s">
        <v>281</v>
      </c>
      <c r="BA118" s="46" t="s">
        <v>151</v>
      </c>
      <c r="BC118" s="14">
        <f>AW118+AX118</f>
        <v>0</v>
      </c>
      <c r="BD118" s="14">
        <f>H118/(100-BE118)*100</f>
        <v>0</v>
      </c>
      <c r="BE118" s="14">
        <v>0</v>
      </c>
      <c r="BF118" s="14">
        <f>118</f>
        <v>118</v>
      </c>
      <c r="BH118" s="14">
        <f>G118*AO118</f>
        <v>0</v>
      </c>
      <c r="BI118" s="14">
        <f>G118*AP118</f>
        <v>0</v>
      </c>
      <c r="BJ118" s="14">
        <f>G118*H118</f>
        <v>0</v>
      </c>
      <c r="BK118" s="14"/>
      <c r="BL118" s="14"/>
      <c r="BW118" s="14">
        <v>21</v>
      </c>
      <c r="BX118" s="4" t="s">
        <v>316</v>
      </c>
    </row>
    <row r="119" spans="1:76" x14ac:dyDescent="0.25">
      <c r="A119" s="60"/>
      <c r="D119" s="61" t="s">
        <v>318</v>
      </c>
      <c r="E119" s="61" t="s">
        <v>18</v>
      </c>
      <c r="G119" s="62">
        <v>117.337</v>
      </c>
      <c r="K119" s="52"/>
    </row>
    <row r="120" spans="1:76" x14ac:dyDescent="0.25">
      <c r="A120" s="1" t="s">
        <v>319</v>
      </c>
      <c r="B120" s="2" t="s">
        <v>18</v>
      </c>
      <c r="C120" s="2" t="s">
        <v>320</v>
      </c>
      <c r="D120" s="74" t="s">
        <v>321</v>
      </c>
      <c r="E120" s="69"/>
      <c r="F120" s="2" t="s">
        <v>223</v>
      </c>
      <c r="G120" s="14">
        <v>352.01100000000002</v>
      </c>
      <c r="H120" s="14">
        <v>0</v>
      </c>
      <c r="I120" s="14">
        <f>G120*H120</f>
        <v>0</v>
      </c>
      <c r="K120" s="52"/>
      <c r="Z120" s="14">
        <f>IF(AQ120="5",BJ120,0)</f>
        <v>0</v>
      </c>
      <c r="AB120" s="14">
        <f>IF(AQ120="1",BH120,0)</f>
        <v>0</v>
      </c>
      <c r="AC120" s="14">
        <f>IF(AQ120="1",BI120,0)</f>
        <v>0</v>
      </c>
      <c r="AD120" s="14">
        <f>IF(AQ120="7",BH120,0)</f>
        <v>0</v>
      </c>
      <c r="AE120" s="14">
        <f>IF(AQ120="7",BI120,0)</f>
        <v>0</v>
      </c>
      <c r="AF120" s="14">
        <f>IF(AQ120="2",BH120,0)</f>
        <v>0</v>
      </c>
      <c r="AG120" s="14">
        <f>IF(AQ120="2",BI120,0)</f>
        <v>0</v>
      </c>
      <c r="AH120" s="14">
        <f>IF(AQ120="0",BJ120,0)</f>
        <v>0</v>
      </c>
      <c r="AI120" s="46" t="s">
        <v>18</v>
      </c>
      <c r="AJ120" s="14">
        <f>IF(AN120=0,I120,0)</f>
        <v>0</v>
      </c>
      <c r="AK120" s="14">
        <f>IF(AN120=12,I120,0)</f>
        <v>0</v>
      </c>
      <c r="AL120" s="14">
        <f>IF(AN120=21,I120,0)</f>
        <v>0</v>
      </c>
      <c r="AN120" s="14">
        <v>21</v>
      </c>
      <c r="AO120" s="14">
        <f>H120*0</f>
        <v>0</v>
      </c>
      <c r="AP120" s="14">
        <f>H120*(1-0)</f>
        <v>0</v>
      </c>
      <c r="AQ120" s="13" t="s">
        <v>161</v>
      </c>
      <c r="AV120" s="14">
        <f>AW120+AX120</f>
        <v>0</v>
      </c>
      <c r="AW120" s="14">
        <f>G120*AO120</f>
        <v>0</v>
      </c>
      <c r="AX120" s="14">
        <f>G120*AP120</f>
        <v>0</v>
      </c>
      <c r="AY120" s="13" t="s">
        <v>317</v>
      </c>
      <c r="AZ120" s="13" t="s">
        <v>281</v>
      </c>
      <c r="BA120" s="46" t="s">
        <v>151</v>
      </c>
      <c r="BC120" s="14">
        <f>AW120+AX120</f>
        <v>0</v>
      </c>
      <c r="BD120" s="14">
        <f>H120/(100-BE120)*100</f>
        <v>0</v>
      </c>
      <c r="BE120" s="14">
        <v>0</v>
      </c>
      <c r="BF120" s="14">
        <f>120</f>
        <v>120</v>
      </c>
      <c r="BH120" s="14">
        <f>G120*AO120</f>
        <v>0</v>
      </c>
      <c r="BI120" s="14">
        <f>G120*AP120</f>
        <v>0</v>
      </c>
      <c r="BJ120" s="14">
        <f>G120*H120</f>
        <v>0</v>
      </c>
      <c r="BK120" s="14"/>
      <c r="BL120" s="14"/>
      <c r="BW120" s="14">
        <v>21</v>
      </c>
      <c r="BX120" s="4" t="s">
        <v>321</v>
      </c>
    </row>
    <row r="121" spans="1:76" x14ac:dyDescent="0.25">
      <c r="A121" s="60"/>
      <c r="D121" s="61" t="s">
        <v>322</v>
      </c>
      <c r="E121" s="61" t="s">
        <v>18</v>
      </c>
      <c r="G121" s="62">
        <v>352.01100000000002</v>
      </c>
      <c r="K121" s="52"/>
    </row>
    <row r="122" spans="1:76" x14ac:dyDescent="0.25">
      <c r="A122" s="1" t="s">
        <v>323</v>
      </c>
      <c r="B122" s="2" t="s">
        <v>18</v>
      </c>
      <c r="C122" s="2" t="s">
        <v>324</v>
      </c>
      <c r="D122" s="74" t="s">
        <v>325</v>
      </c>
      <c r="E122" s="69"/>
      <c r="F122" s="2" t="s">
        <v>223</v>
      </c>
      <c r="G122" s="14">
        <v>117.337</v>
      </c>
      <c r="H122" s="14">
        <v>0</v>
      </c>
      <c r="I122" s="14">
        <f>G122*H122</f>
        <v>0</v>
      </c>
      <c r="K122" s="52"/>
      <c r="Z122" s="14">
        <f>IF(AQ122="5",BJ122,0)</f>
        <v>0</v>
      </c>
      <c r="AB122" s="14">
        <f>IF(AQ122="1",BH122,0)</f>
        <v>0</v>
      </c>
      <c r="AC122" s="14">
        <f>IF(AQ122="1",BI122,0)</f>
        <v>0</v>
      </c>
      <c r="AD122" s="14">
        <f>IF(AQ122="7",BH122,0)</f>
        <v>0</v>
      </c>
      <c r="AE122" s="14">
        <f>IF(AQ122="7",BI122,0)</f>
        <v>0</v>
      </c>
      <c r="AF122" s="14">
        <f>IF(AQ122="2",BH122,0)</f>
        <v>0</v>
      </c>
      <c r="AG122" s="14">
        <f>IF(AQ122="2",BI122,0)</f>
        <v>0</v>
      </c>
      <c r="AH122" s="14">
        <f>IF(AQ122="0",BJ122,0)</f>
        <v>0</v>
      </c>
      <c r="AI122" s="46" t="s">
        <v>18</v>
      </c>
      <c r="AJ122" s="14">
        <f>IF(AN122=0,I122,0)</f>
        <v>0</v>
      </c>
      <c r="AK122" s="14">
        <f>IF(AN122=12,I122,0)</f>
        <v>0</v>
      </c>
      <c r="AL122" s="14">
        <f>IF(AN122=21,I122,0)</f>
        <v>0</v>
      </c>
      <c r="AN122" s="14">
        <v>21</v>
      </c>
      <c r="AO122" s="14">
        <f>H122*0</f>
        <v>0</v>
      </c>
      <c r="AP122" s="14">
        <f>H122*(1-0)</f>
        <v>0</v>
      </c>
      <c r="AQ122" s="13" t="s">
        <v>161</v>
      </c>
      <c r="AV122" s="14">
        <f>AW122+AX122</f>
        <v>0</v>
      </c>
      <c r="AW122" s="14">
        <f>G122*AO122</f>
        <v>0</v>
      </c>
      <c r="AX122" s="14">
        <f>G122*AP122</f>
        <v>0</v>
      </c>
      <c r="AY122" s="13" t="s">
        <v>317</v>
      </c>
      <c r="AZ122" s="13" t="s">
        <v>281</v>
      </c>
      <c r="BA122" s="46" t="s">
        <v>151</v>
      </c>
      <c r="BC122" s="14">
        <f>AW122+AX122</f>
        <v>0</v>
      </c>
      <c r="BD122" s="14">
        <f>H122/(100-BE122)*100</f>
        <v>0</v>
      </c>
      <c r="BE122" s="14">
        <v>0</v>
      </c>
      <c r="BF122" s="14">
        <f>122</f>
        <v>122</v>
      </c>
      <c r="BH122" s="14">
        <f>G122*AO122</f>
        <v>0</v>
      </c>
      <c r="BI122" s="14">
        <f>G122*AP122</f>
        <v>0</v>
      </c>
      <c r="BJ122" s="14">
        <f>G122*H122</f>
        <v>0</v>
      </c>
      <c r="BK122" s="14"/>
      <c r="BL122" s="14"/>
      <c r="BW122" s="14">
        <v>21</v>
      </c>
      <c r="BX122" s="4" t="s">
        <v>325</v>
      </c>
    </row>
    <row r="123" spans="1:76" x14ac:dyDescent="0.25">
      <c r="A123" s="1" t="s">
        <v>326</v>
      </c>
      <c r="B123" s="2" t="s">
        <v>18</v>
      </c>
      <c r="C123" s="2" t="s">
        <v>327</v>
      </c>
      <c r="D123" s="74" t="s">
        <v>328</v>
      </c>
      <c r="E123" s="69"/>
      <c r="F123" s="2" t="s">
        <v>223</v>
      </c>
      <c r="G123" s="14">
        <v>0.89700000000000002</v>
      </c>
      <c r="H123" s="14">
        <v>0</v>
      </c>
      <c r="I123" s="14">
        <f>G123*H123</f>
        <v>0</v>
      </c>
      <c r="K123" s="52"/>
      <c r="Z123" s="14">
        <f>IF(AQ123="5",BJ123,0)</f>
        <v>0</v>
      </c>
      <c r="AB123" s="14">
        <f>IF(AQ123="1",BH123,0)</f>
        <v>0</v>
      </c>
      <c r="AC123" s="14">
        <f>IF(AQ123="1",BI123,0)</f>
        <v>0</v>
      </c>
      <c r="AD123" s="14">
        <f>IF(AQ123="7",BH123,0)</f>
        <v>0</v>
      </c>
      <c r="AE123" s="14">
        <f>IF(AQ123="7",BI123,0)</f>
        <v>0</v>
      </c>
      <c r="AF123" s="14">
        <f>IF(AQ123="2",BH123,0)</f>
        <v>0</v>
      </c>
      <c r="AG123" s="14">
        <f>IF(AQ123="2",BI123,0)</f>
        <v>0</v>
      </c>
      <c r="AH123" s="14">
        <f>IF(AQ123="0",BJ123,0)</f>
        <v>0</v>
      </c>
      <c r="AI123" s="46" t="s">
        <v>18</v>
      </c>
      <c r="AJ123" s="14">
        <f>IF(AN123=0,I123,0)</f>
        <v>0</v>
      </c>
      <c r="AK123" s="14">
        <f>IF(AN123=12,I123,0)</f>
        <v>0</v>
      </c>
      <c r="AL123" s="14">
        <f>IF(AN123=21,I123,0)</f>
        <v>0</v>
      </c>
      <c r="AN123" s="14">
        <v>21</v>
      </c>
      <c r="AO123" s="14">
        <f>H123*0</f>
        <v>0</v>
      </c>
      <c r="AP123" s="14">
        <f>H123*(1-0)</f>
        <v>0</v>
      </c>
      <c r="AQ123" s="13" t="s">
        <v>161</v>
      </c>
      <c r="AV123" s="14">
        <f>AW123+AX123</f>
        <v>0</v>
      </c>
      <c r="AW123" s="14">
        <f>G123*AO123</f>
        <v>0</v>
      </c>
      <c r="AX123" s="14">
        <f>G123*AP123</f>
        <v>0</v>
      </c>
      <c r="AY123" s="13" t="s">
        <v>317</v>
      </c>
      <c r="AZ123" s="13" t="s">
        <v>281</v>
      </c>
      <c r="BA123" s="46" t="s">
        <v>151</v>
      </c>
      <c r="BC123" s="14">
        <f>AW123+AX123</f>
        <v>0</v>
      </c>
      <c r="BD123" s="14">
        <f>H123/(100-BE123)*100</f>
        <v>0</v>
      </c>
      <c r="BE123" s="14">
        <v>0</v>
      </c>
      <c r="BF123" s="14">
        <f>123</f>
        <v>123</v>
      </c>
      <c r="BH123" s="14">
        <f>G123*AO123</f>
        <v>0</v>
      </c>
      <c r="BI123" s="14">
        <f>G123*AP123</f>
        <v>0</v>
      </c>
      <c r="BJ123" s="14">
        <f>G123*H123</f>
        <v>0</v>
      </c>
      <c r="BK123" s="14"/>
      <c r="BL123" s="14"/>
      <c r="BW123" s="14">
        <v>21</v>
      </c>
      <c r="BX123" s="4" t="s">
        <v>328</v>
      </c>
    </row>
    <row r="124" spans="1:76" x14ac:dyDescent="0.25">
      <c r="A124" s="1" t="s">
        <v>329</v>
      </c>
      <c r="B124" s="2" t="s">
        <v>18</v>
      </c>
      <c r="C124" s="2" t="s">
        <v>330</v>
      </c>
      <c r="D124" s="74" t="s">
        <v>331</v>
      </c>
      <c r="E124" s="69"/>
      <c r="F124" s="2" t="s">
        <v>223</v>
      </c>
      <c r="G124" s="14">
        <v>99.662000000000006</v>
      </c>
      <c r="H124" s="14">
        <v>0</v>
      </c>
      <c r="I124" s="14">
        <f>G124*H124</f>
        <v>0</v>
      </c>
      <c r="K124" s="52"/>
      <c r="Z124" s="14">
        <f>IF(AQ124="5",BJ124,0)</f>
        <v>0</v>
      </c>
      <c r="AB124" s="14">
        <f>IF(AQ124="1",BH124,0)</f>
        <v>0</v>
      </c>
      <c r="AC124" s="14">
        <f>IF(AQ124="1",BI124,0)</f>
        <v>0</v>
      </c>
      <c r="AD124" s="14">
        <f>IF(AQ124="7",BH124,0)</f>
        <v>0</v>
      </c>
      <c r="AE124" s="14">
        <f>IF(AQ124="7",BI124,0)</f>
        <v>0</v>
      </c>
      <c r="AF124" s="14">
        <f>IF(AQ124="2",BH124,0)</f>
        <v>0</v>
      </c>
      <c r="AG124" s="14">
        <f>IF(AQ124="2",BI124,0)</f>
        <v>0</v>
      </c>
      <c r="AH124" s="14">
        <f>IF(AQ124="0",BJ124,0)</f>
        <v>0</v>
      </c>
      <c r="AI124" s="46" t="s">
        <v>18</v>
      </c>
      <c r="AJ124" s="14">
        <f>IF(AN124=0,I124,0)</f>
        <v>0</v>
      </c>
      <c r="AK124" s="14">
        <f>IF(AN124=12,I124,0)</f>
        <v>0</v>
      </c>
      <c r="AL124" s="14">
        <f>IF(AN124=21,I124,0)</f>
        <v>0</v>
      </c>
      <c r="AN124" s="14">
        <v>21</v>
      </c>
      <c r="AO124" s="14">
        <f>H124*0</f>
        <v>0</v>
      </c>
      <c r="AP124" s="14">
        <f>H124*(1-0)</f>
        <v>0</v>
      </c>
      <c r="AQ124" s="13" t="s">
        <v>161</v>
      </c>
      <c r="AV124" s="14">
        <f>AW124+AX124</f>
        <v>0</v>
      </c>
      <c r="AW124" s="14">
        <f>G124*AO124</f>
        <v>0</v>
      </c>
      <c r="AX124" s="14">
        <f>G124*AP124</f>
        <v>0</v>
      </c>
      <c r="AY124" s="13" t="s">
        <v>317</v>
      </c>
      <c r="AZ124" s="13" t="s">
        <v>281</v>
      </c>
      <c r="BA124" s="46" t="s">
        <v>151</v>
      </c>
      <c r="BC124" s="14">
        <f>AW124+AX124</f>
        <v>0</v>
      </c>
      <c r="BD124" s="14">
        <f>H124/(100-BE124)*100</f>
        <v>0</v>
      </c>
      <c r="BE124" s="14">
        <v>0</v>
      </c>
      <c r="BF124" s="14">
        <f>124</f>
        <v>124</v>
      </c>
      <c r="BH124" s="14">
        <f>G124*AO124</f>
        <v>0</v>
      </c>
      <c r="BI124" s="14">
        <f>G124*AP124</f>
        <v>0</v>
      </c>
      <c r="BJ124" s="14">
        <f>G124*H124</f>
        <v>0</v>
      </c>
      <c r="BK124" s="14"/>
      <c r="BL124" s="14"/>
      <c r="BW124" s="14">
        <v>21</v>
      </c>
      <c r="BX124" s="4" t="s">
        <v>331</v>
      </c>
    </row>
    <row r="125" spans="1:76" x14ac:dyDescent="0.25">
      <c r="A125" s="60"/>
      <c r="D125" s="61" t="s">
        <v>332</v>
      </c>
      <c r="E125" s="61" t="s">
        <v>18</v>
      </c>
      <c r="G125" s="62">
        <v>99.662000000000006</v>
      </c>
      <c r="K125" s="52"/>
    </row>
    <row r="126" spans="1:76" x14ac:dyDescent="0.25">
      <c r="A126" s="1" t="s">
        <v>333</v>
      </c>
      <c r="B126" s="2" t="s">
        <v>18</v>
      </c>
      <c r="C126" s="2" t="s">
        <v>334</v>
      </c>
      <c r="D126" s="74" t="s">
        <v>335</v>
      </c>
      <c r="E126" s="69"/>
      <c r="F126" s="2" t="s">
        <v>223</v>
      </c>
      <c r="G126" s="14">
        <v>16.777000000000001</v>
      </c>
      <c r="H126" s="14">
        <v>0</v>
      </c>
      <c r="I126" s="14">
        <f>G126*H126</f>
        <v>0</v>
      </c>
      <c r="K126" s="52"/>
      <c r="Z126" s="14">
        <f>IF(AQ126="5",BJ126,0)</f>
        <v>0</v>
      </c>
      <c r="AB126" s="14">
        <f>IF(AQ126="1",BH126,0)</f>
        <v>0</v>
      </c>
      <c r="AC126" s="14">
        <f>IF(AQ126="1",BI126,0)</f>
        <v>0</v>
      </c>
      <c r="AD126" s="14">
        <f>IF(AQ126="7",BH126,0)</f>
        <v>0</v>
      </c>
      <c r="AE126" s="14">
        <f>IF(AQ126="7",BI126,0)</f>
        <v>0</v>
      </c>
      <c r="AF126" s="14">
        <f>IF(AQ126="2",BH126,0)</f>
        <v>0</v>
      </c>
      <c r="AG126" s="14">
        <f>IF(AQ126="2",BI126,0)</f>
        <v>0</v>
      </c>
      <c r="AH126" s="14">
        <f>IF(AQ126="0",BJ126,0)</f>
        <v>0</v>
      </c>
      <c r="AI126" s="46" t="s">
        <v>18</v>
      </c>
      <c r="AJ126" s="14">
        <f>IF(AN126=0,I126,0)</f>
        <v>0</v>
      </c>
      <c r="AK126" s="14">
        <f>IF(AN126=12,I126,0)</f>
        <v>0</v>
      </c>
      <c r="AL126" s="14">
        <f>IF(AN126=21,I126,0)</f>
        <v>0</v>
      </c>
      <c r="AN126" s="14">
        <v>21</v>
      </c>
      <c r="AO126" s="14">
        <f>H126*0</f>
        <v>0</v>
      </c>
      <c r="AP126" s="14">
        <f>H126*(1-0)</f>
        <v>0</v>
      </c>
      <c r="AQ126" s="13" t="s">
        <v>161</v>
      </c>
      <c r="AV126" s="14">
        <f>AW126+AX126</f>
        <v>0</v>
      </c>
      <c r="AW126" s="14">
        <f>G126*AO126</f>
        <v>0</v>
      </c>
      <c r="AX126" s="14">
        <f>G126*AP126</f>
        <v>0</v>
      </c>
      <c r="AY126" s="13" t="s">
        <v>317</v>
      </c>
      <c r="AZ126" s="13" t="s">
        <v>281</v>
      </c>
      <c r="BA126" s="46" t="s">
        <v>151</v>
      </c>
      <c r="BC126" s="14">
        <f>AW126+AX126</f>
        <v>0</v>
      </c>
      <c r="BD126" s="14">
        <f>H126/(100-BE126)*100</f>
        <v>0</v>
      </c>
      <c r="BE126" s="14">
        <v>0</v>
      </c>
      <c r="BF126" s="14">
        <f>126</f>
        <v>126</v>
      </c>
      <c r="BH126" s="14">
        <f>G126*AO126</f>
        <v>0</v>
      </c>
      <c r="BI126" s="14">
        <f>G126*AP126</f>
        <v>0</v>
      </c>
      <c r="BJ126" s="14">
        <f>G126*H126</f>
        <v>0</v>
      </c>
      <c r="BK126" s="14"/>
      <c r="BL126" s="14"/>
      <c r="BW126" s="14">
        <v>21</v>
      </c>
      <c r="BX126" s="4" t="s">
        <v>335</v>
      </c>
    </row>
    <row r="127" spans="1:76" x14ac:dyDescent="0.25">
      <c r="A127" s="57" t="s">
        <v>18</v>
      </c>
      <c r="B127" s="58" t="s">
        <v>18</v>
      </c>
      <c r="C127" s="58" t="s">
        <v>56</v>
      </c>
      <c r="D127" s="144" t="s">
        <v>57</v>
      </c>
      <c r="E127" s="145"/>
      <c r="F127" s="59" t="s">
        <v>3</v>
      </c>
      <c r="G127" s="59" t="s">
        <v>3</v>
      </c>
      <c r="H127" s="59" t="s">
        <v>3</v>
      </c>
      <c r="I127" s="39">
        <f>SUM(I128:I131)</f>
        <v>0</v>
      </c>
      <c r="K127" s="52"/>
      <c r="AI127" s="46" t="s">
        <v>18</v>
      </c>
      <c r="AS127" s="39">
        <f>SUM(AJ128:AJ131)</f>
        <v>0</v>
      </c>
      <c r="AT127" s="39">
        <f>SUM(AK128:AK131)</f>
        <v>0</v>
      </c>
      <c r="AU127" s="39">
        <f>SUM(AL128:AL131)</f>
        <v>0</v>
      </c>
    </row>
    <row r="128" spans="1:76" x14ac:dyDescent="0.25">
      <c r="A128" s="1" t="s">
        <v>336</v>
      </c>
      <c r="B128" s="2" t="s">
        <v>18</v>
      </c>
      <c r="C128" s="2" t="s">
        <v>337</v>
      </c>
      <c r="D128" s="74" t="s">
        <v>338</v>
      </c>
      <c r="E128" s="69"/>
      <c r="F128" s="2" t="s">
        <v>339</v>
      </c>
      <c r="G128" s="14">
        <v>628.78499999999997</v>
      </c>
      <c r="H128" s="14">
        <v>0</v>
      </c>
      <c r="I128" s="14">
        <f>G128*H128</f>
        <v>0</v>
      </c>
      <c r="K128" s="52"/>
      <c r="Z128" s="14">
        <f>IF(AQ128="5",BJ128,0)</f>
        <v>0</v>
      </c>
      <c r="AB128" s="14">
        <f>IF(AQ128="1",BH128,0)</f>
        <v>0</v>
      </c>
      <c r="AC128" s="14">
        <f>IF(AQ128="1",BI128,0)</f>
        <v>0</v>
      </c>
      <c r="AD128" s="14">
        <f>IF(AQ128="7",BH128,0)</f>
        <v>0</v>
      </c>
      <c r="AE128" s="14">
        <f>IF(AQ128="7",BI128,0)</f>
        <v>0</v>
      </c>
      <c r="AF128" s="14">
        <f>IF(AQ128="2",BH128,0)</f>
        <v>0</v>
      </c>
      <c r="AG128" s="14">
        <f>IF(AQ128="2",BI128,0)</f>
        <v>0</v>
      </c>
      <c r="AH128" s="14">
        <f>IF(AQ128="0",BJ128,0)</f>
        <v>0</v>
      </c>
      <c r="AI128" s="46" t="s">
        <v>18</v>
      </c>
      <c r="AJ128" s="14">
        <f>IF(AN128=0,I128,0)</f>
        <v>0</v>
      </c>
      <c r="AK128" s="14">
        <f>IF(AN128=12,I128,0)</f>
        <v>0</v>
      </c>
      <c r="AL128" s="14">
        <f>IF(AN128=21,I128,0)</f>
        <v>0</v>
      </c>
      <c r="AN128" s="14">
        <v>21</v>
      </c>
      <c r="AO128" s="14">
        <f>H128*0</f>
        <v>0</v>
      </c>
      <c r="AP128" s="14">
        <f>H128*(1-0)</f>
        <v>0</v>
      </c>
      <c r="AQ128" s="13" t="s">
        <v>177</v>
      </c>
      <c r="AV128" s="14">
        <f>AW128+AX128</f>
        <v>0</v>
      </c>
      <c r="AW128" s="14">
        <f>G128*AO128</f>
        <v>0</v>
      </c>
      <c r="AX128" s="14">
        <f>G128*AP128</f>
        <v>0</v>
      </c>
      <c r="AY128" s="13" t="s">
        <v>340</v>
      </c>
      <c r="AZ128" s="13" t="s">
        <v>341</v>
      </c>
      <c r="BA128" s="46" t="s">
        <v>151</v>
      </c>
      <c r="BC128" s="14">
        <f>AW128+AX128</f>
        <v>0</v>
      </c>
      <c r="BD128" s="14">
        <f>H128/(100-BE128)*100</f>
        <v>0</v>
      </c>
      <c r="BE128" s="14">
        <v>0</v>
      </c>
      <c r="BF128" s="14">
        <f>128</f>
        <v>128</v>
      </c>
      <c r="BH128" s="14">
        <f>G128*AO128</f>
        <v>0</v>
      </c>
      <c r="BI128" s="14">
        <f>G128*AP128</f>
        <v>0</v>
      </c>
      <c r="BJ128" s="14">
        <f>G128*H128</f>
        <v>0</v>
      </c>
      <c r="BK128" s="14"/>
      <c r="BL128" s="14">
        <v>767</v>
      </c>
      <c r="BW128" s="14">
        <v>21</v>
      </c>
      <c r="BX128" s="4" t="s">
        <v>338</v>
      </c>
    </row>
    <row r="129" spans="1:76" x14ac:dyDescent="0.25">
      <c r="A129" s="60"/>
      <c r="D129" s="61" t="s">
        <v>342</v>
      </c>
      <c r="E129" s="61" t="s">
        <v>18</v>
      </c>
      <c r="G129" s="62">
        <v>0</v>
      </c>
      <c r="K129" s="52"/>
    </row>
    <row r="130" spans="1:76" x14ac:dyDescent="0.25">
      <c r="A130" s="60"/>
      <c r="D130" s="61" t="s">
        <v>343</v>
      </c>
      <c r="E130" s="61" t="s">
        <v>18</v>
      </c>
      <c r="G130" s="62">
        <v>628.78499999999997</v>
      </c>
      <c r="K130" s="52"/>
    </row>
    <row r="131" spans="1:76" x14ac:dyDescent="0.25">
      <c r="A131" s="16" t="s">
        <v>344</v>
      </c>
      <c r="B131" s="5" t="s">
        <v>18</v>
      </c>
      <c r="C131" s="5" t="s">
        <v>345</v>
      </c>
      <c r="D131" s="146" t="s">
        <v>346</v>
      </c>
      <c r="E131" s="77"/>
      <c r="F131" s="5" t="s">
        <v>110</v>
      </c>
      <c r="G131" s="64">
        <v>188.64</v>
      </c>
      <c r="H131" s="64">
        <v>0</v>
      </c>
      <c r="I131" s="64">
        <f>G131*H131</f>
        <v>0</v>
      </c>
      <c r="J131" s="65"/>
      <c r="K131" s="66"/>
      <c r="Z131" s="14">
        <f>IF(AQ131="5",BJ131,0)</f>
        <v>0</v>
      </c>
      <c r="AB131" s="14">
        <f>IF(AQ131="1",BH131,0)</f>
        <v>0</v>
      </c>
      <c r="AC131" s="14">
        <f>IF(AQ131="1",BI131,0)</f>
        <v>0</v>
      </c>
      <c r="AD131" s="14">
        <f>IF(AQ131="7",BH131,0)</f>
        <v>0</v>
      </c>
      <c r="AE131" s="14">
        <f>IF(AQ131="7",BI131,0)</f>
        <v>0</v>
      </c>
      <c r="AF131" s="14">
        <f>IF(AQ131="2",BH131,0)</f>
        <v>0</v>
      </c>
      <c r="AG131" s="14">
        <f>IF(AQ131="2",BI131,0)</f>
        <v>0</v>
      </c>
      <c r="AH131" s="14">
        <f>IF(AQ131="0",BJ131,0)</f>
        <v>0</v>
      </c>
      <c r="AI131" s="46" t="s">
        <v>18</v>
      </c>
      <c r="AJ131" s="14">
        <f>IF(AN131=0,I131,0)</f>
        <v>0</v>
      </c>
      <c r="AK131" s="14">
        <f>IF(AN131=12,I131,0)</f>
        <v>0</v>
      </c>
      <c r="AL131" s="14">
        <f>IF(AN131=21,I131,0)</f>
        <v>0</v>
      </c>
      <c r="AN131" s="14">
        <v>21</v>
      </c>
      <c r="AO131" s="14">
        <f>H131*0</f>
        <v>0</v>
      </c>
      <c r="AP131" s="14">
        <f>H131*(1-0)</f>
        <v>0</v>
      </c>
      <c r="AQ131" s="13" t="s">
        <v>161</v>
      </c>
      <c r="AV131" s="14">
        <f>AW131+AX131</f>
        <v>0</v>
      </c>
      <c r="AW131" s="14">
        <f>G131*AO131</f>
        <v>0</v>
      </c>
      <c r="AX131" s="14">
        <f>G131*AP131</f>
        <v>0</v>
      </c>
      <c r="AY131" s="13" t="s">
        <v>340</v>
      </c>
      <c r="AZ131" s="13" t="s">
        <v>341</v>
      </c>
      <c r="BA131" s="46" t="s">
        <v>151</v>
      </c>
      <c r="BC131" s="14">
        <f>AW131+AX131</f>
        <v>0</v>
      </c>
      <c r="BD131" s="14">
        <f>H131/(100-BE131)*100</f>
        <v>0</v>
      </c>
      <c r="BE131" s="14">
        <v>0</v>
      </c>
      <c r="BF131" s="14">
        <f>131</f>
        <v>131</v>
      </c>
      <c r="BH131" s="14">
        <f>G131*AO131</f>
        <v>0</v>
      </c>
      <c r="BI131" s="14">
        <f>G131*AP131</f>
        <v>0</v>
      </c>
      <c r="BJ131" s="14">
        <f>G131*H131</f>
        <v>0</v>
      </c>
      <c r="BK131" s="14"/>
      <c r="BL131" s="14">
        <v>767</v>
      </c>
      <c r="BW131" s="14">
        <v>21</v>
      </c>
      <c r="BX131" s="4" t="s">
        <v>346</v>
      </c>
    </row>
    <row r="132" spans="1:76" x14ac:dyDescent="0.25">
      <c r="I132" s="67">
        <f>I12+I17+I36+I49+I53+I56+I58+I67+I74+I77+I81+I87+I94+I101+I103+I106+I113+I117+I127</f>
        <v>0</v>
      </c>
    </row>
    <row r="133" spans="1:76" x14ac:dyDescent="0.25">
      <c r="A133" s="68" t="s">
        <v>105</v>
      </c>
    </row>
    <row r="134" spans="1:76" ht="12.75" customHeight="1" x14ac:dyDescent="0.25">
      <c r="A134" s="74" t="s">
        <v>18</v>
      </c>
      <c r="B134" s="69"/>
      <c r="C134" s="69"/>
      <c r="D134" s="69"/>
      <c r="E134" s="69"/>
      <c r="F134" s="69"/>
      <c r="G134" s="69"/>
      <c r="H134" s="69"/>
      <c r="I134" s="69"/>
      <c r="J134" s="69"/>
      <c r="K134" s="69"/>
    </row>
  </sheetData>
  <mergeCells count="92">
    <mergeCell ref="A1:K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  <mergeCell ref="J2:K3"/>
    <mergeCell ref="J4:K5"/>
    <mergeCell ref="J6:K7"/>
    <mergeCell ref="J8:K9"/>
    <mergeCell ref="D10:E10"/>
    <mergeCell ref="D8:E9"/>
    <mergeCell ref="H2:H3"/>
    <mergeCell ref="H4:H5"/>
    <mergeCell ref="H6:H7"/>
    <mergeCell ref="H8:H9"/>
    <mergeCell ref="D11:E11"/>
    <mergeCell ref="D12:E12"/>
    <mergeCell ref="D13:E13"/>
    <mergeCell ref="D14:E14"/>
    <mergeCell ref="D15:E15"/>
    <mergeCell ref="D16:E16"/>
    <mergeCell ref="D17:E17"/>
    <mergeCell ref="D18:E18"/>
    <mergeCell ref="D20:E20"/>
    <mergeCell ref="D27:E27"/>
    <mergeCell ref="D32:E32"/>
    <mergeCell ref="D35:E35"/>
    <mergeCell ref="D36:E36"/>
    <mergeCell ref="D37:E37"/>
    <mergeCell ref="D47:E47"/>
    <mergeCell ref="D49:E49"/>
    <mergeCell ref="D50:E50"/>
    <mergeCell ref="D51:E51"/>
    <mergeCell ref="D53:E53"/>
    <mergeCell ref="D54:E54"/>
    <mergeCell ref="D56:E56"/>
    <mergeCell ref="D57:E57"/>
    <mergeCell ref="D58:E58"/>
    <mergeCell ref="D59:E59"/>
    <mergeCell ref="D62:E62"/>
    <mergeCell ref="D63:K63"/>
    <mergeCell ref="D66:E66"/>
    <mergeCell ref="D67:E67"/>
    <mergeCell ref="D68:E68"/>
    <mergeCell ref="D69:K69"/>
    <mergeCell ref="D74:E74"/>
    <mergeCell ref="D75:E75"/>
    <mergeCell ref="D77:E77"/>
    <mergeCell ref="D78:E78"/>
    <mergeCell ref="D81:E81"/>
    <mergeCell ref="D82:E82"/>
    <mergeCell ref="D84:E84"/>
    <mergeCell ref="D85:E85"/>
    <mergeCell ref="D87:E87"/>
    <mergeCell ref="D88:E88"/>
    <mergeCell ref="D91:E91"/>
    <mergeCell ref="D94:E94"/>
    <mergeCell ref="D95:E95"/>
    <mergeCell ref="D97:E97"/>
    <mergeCell ref="D98:K98"/>
    <mergeCell ref="D101:E101"/>
    <mergeCell ref="D102:E102"/>
    <mergeCell ref="D103:E103"/>
    <mergeCell ref="D104:E104"/>
    <mergeCell ref="D105:E105"/>
    <mergeCell ref="D106:E106"/>
    <mergeCell ref="D107:E107"/>
    <mergeCell ref="D113:E113"/>
    <mergeCell ref="D114:E114"/>
    <mergeCell ref="D116:E116"/>
    <mergeCell ref="D117:E117"/>
    <mergeCell ref="D118:E118"/>
    <mergeCell ref="D120:E120"/>
    <mergeCell ref="D122:E122"/>
    <mergeCell ref="D123:E123"/>
    <mergeCell ref="A134:K134"/>
    <mergeCell ref="D124:E124"/>
    <mergeCell ref="D126:E126"/>
    <mergeCell ref="D127:E127"/>
    <mergeCell ref="D128:E128"/>
    <mergeCell ref="D131:E131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Stavební rozpočet - součet</vt:lpstr>
      <vt:lpstr>Krycí list rozpočtu</vt:lpstr>
      <vt:lpstr>VORN</vt:lpstr>
      <vt:lpstr>Stavební rozpočet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Charuza Pavel</cp:lastModifiedBy>
  <dcterms:created xsi:type="dcterms:W3CDTF">2021-06-10T20:06:38Z</dcterms:created>
  <dcterms:modified xsi:type="dcterms:W3CDTF">2024-11-05T12:03:04Z</dcterms:modified>
</cp:coreProperties>
</file>