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Výkaz výměr" sheetId="1" r:id="rId1"/>
    <sheet name="Slepý rozpočet s rozměry" sheetId="2" r:id="rId2"/>
    <sheet name="Stavební rozpočet - součet" sheetId="3" r:id="rId3"/>
    <sheet name="Čerpání rozpočtu a fakturace" sheetId="4" r:id="rId4"/>
    <sheet name="Krycí list rozpočtu" sheetId="5" r:id="rId5"/>
  </sheets>
  <definedNames/>
  <calcPr fullCalcOnLoad="1"/>
</workbook>
</file>

<file path=xl/sharedStrings.xml><?xml version="1.0" encoding="utf-8"?>
<sst xmlns="http://schemas.openxmlformats.org/spreadsheetml/2006/main" count="4849" uniqueCount="812">
  <si>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</si>
  <si>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</si>
  <si>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</si>
  <si>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</si>
  <si>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</si>
  <si>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</si>
  <si>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</si>
  <si>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</si>
  <si>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</si>
  <si>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</si>
  <si>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</si>
  <si>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</si>
  <si>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</si>
  <si>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</si>
  <si>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</si>
  <si>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</si>
  <si>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</si>
  <si>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</si>
  <si>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</si>
  <si>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</si>
  <si>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</si>
  <si>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</si>
  <si>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</si>
  <si>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</si>
  <si>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</si>
  <si>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</si>
  <si>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</si>
  <si>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</si>
  <si>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</si>
  <si>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</si>
  <si>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</si>
  <si>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</si>
  <si>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</si>
  <si>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</si>
  <si>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</si>
  <si>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</si>
  <si>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</si>
  <si>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</si>
  <si>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</si>
  <si>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</si>
  <si>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</si>
  <si>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</si>
  <si>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</si>
  <si>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</si>
  <si>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</si>
  <si>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</si>
  <si>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</si>
  <si>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</si>
  <si>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</si>
  <si>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</si>
  <si>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</si>
  <si>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</si>
  <si>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</si>
  <si>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</si>
  <si>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</si>
  <si>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</si>
  <si>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</si>
  <si>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</si>
  <si>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</si>
  <si>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</si>
  <si>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</si>
  <si>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</si>
  <si>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</si>
  <si>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</si>
  <si>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</si>
  <si>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</si>
  <si>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</si>
  <si>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</si>
  <si>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</si>
  <si>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</si>
  <si>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</si>
  <si>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</si>
  <si>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</si>
  <si>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</si>
  <si>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</si>
  <si>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</si>
  <si>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</si>
  <si>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</si>
  <si>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</si>
  <si>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</si>
  <si>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</si>
  <si>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</si>
  <si>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</si>
  <si>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</si>
  <si>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</si>
  <si>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</si>
  <si>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</si>
  <si>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</si>
  <si>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</si>
  <si>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</si>
  <si>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</si>
  <si>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</si>
  <si>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</si>
  <si>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</si>
  <si>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</si>
  <si>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</si>
  <si>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</si>
  <si>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</si>
  <si>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</si>
  <si>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</si>
  <si>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</si>
  <si>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</si>
  <si>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</si>
  <si>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</si>
  <si>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</si>
  <si>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</si>
  <si>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</si>
  <si>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</si>
  <si>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</si>
  <si>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</si>
  <si>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</si>
  <si>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</si>
  <si>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</si>
  <si>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</si>
  <si>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</si>
  <si>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</si>
  <si>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</si>
  <si>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</si>
  <si>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</si>
  <si>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</si>
  <si>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</si>
  <si>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</si>
  <si>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</si>
  <si>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</si>
  <si>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</si>
  <si>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</si>
  <si>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</si>
  <si>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</si>
  <si>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</si>
  <si>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</si>
  <si>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</si>
  <si>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</si>
  <si>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</si>
  <si>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</si>
  <si>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</si>
  <si>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</si>
  <si>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</si>
  <si>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</si>
  <si>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</si>
  <si>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</si>
  <si>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</si>
  <si>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</si>
  <si>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</si>
  <si>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</si>
  <si>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</si>
  <si>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</si>
  <si>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</si>
  <si>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</si>
  <si>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</si>
  <si>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</si>
  <si>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</si>
  <si>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</si>
  <si>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</si>
  <si>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</si>
  <si>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</si>
  <si>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</si>
  <si>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</si>
  <si>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</si>
  <si>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</si>
  <si>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</si>
  <si>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</si>
  <si>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</si>
  <si>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</si>
  <si>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</si>
  <si>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</si>
  <si>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</si>
  <si>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</si>
  <si>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</si>
  <si>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</si>
  <si>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</si>
  <si>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</si>
  <si>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</si>
  <si>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</si>
  <si>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</si>
  <si>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</si>
  <si>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</si>
  <si>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</si>
  <si>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</si>
  <si>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</si>
  <si>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</si>
  <si>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</si>
  <si>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</si>
  <si>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</si>
  <si>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</si>
  <si>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</si>
  <si>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</si>
  <si>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</si>
  <si>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</si>
  <si>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</si>
  <si>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</si>
  <si>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</si>
  <si>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</si>
  <si>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</si>
  <si>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</si>
  <si>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</si>
  <si>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</si>
  <si>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Poznámka:</t>
  </si>
  <si>
    <t>Objekt</t>
  </si>
  <si>
    <t>001</t>
  </si>
  <si>
    <t>002</t>
  </si>
  <si>
    <t>003</t>
  </si>
  <si>
    <t>Kód</t>
  </si>
  <si>
    <t>039VD</t>
  </si>
  <si>
    <t>040VD</t>
  </si>
  <si>
    <t>11000001VD</t>
  </si>
  <si>
    <t>110000002VD</t>
  </si>
  <si>
    <t>151101102R00</t>
  </si>
  <si>
    <t>151101211R00</t>
  </si>
  <si>
    <t>113151219R00</t>
  </si>
  <si>
    <t>113107630R00</t>
  </si>
  <si>
    <t>113106121R00</t>
  </si>
  <si>
    <t>113202111R00</t>
  </si>
  <si>
    <t>979082318R00</t>
  </si>
  <si>
    <t>979087212R00</t>
  </si>
  <si>
    <t>171201101R00</t>
  </si>
  <si>
    <t>123202102R00</t>
  </si>
  <si>
    <t>123302102R00</t>
  </si>
  <si>
    <t>123402102R00</t>
  </si>
  <si>
    <t>123502102R00</t>
  </si>
  <si>
    <t>123602102R00</t>
  </si>
  <si>
    <t>123202109R00</t>
  </si>
  <si>
    <t>123302109R00</t>
  </si>
  <si>
    <t>161101101R00</t>
  </si>
  <si>
    <t>139600012RAF</t>
  </si>
  <si>
    <t>162701105RT3</t>
  </si>
  <si>
    <t>162701109RT6</t>
  </si>
  <si>
    <t>162701155R00</t>
  </si>
  <si>
    <t>162701159R00</t>
  </si>
  <si>
    <t>167101102R00</t>
  </si>
  <si>
    <t>130001101R00</t>
  </si>
  <si>
    <t>119001421R00</t>
  </si>
  <si>
    <t>119001412R00</t>
  </si>
  <si>
    <t>119001411R00</t>
  </si>
  <si>
    <t>115101301R00</t>
  </si>
  <si>
    <t>115101201R00</t>
  </si>
  <si>
    <t>721140802R00</t>
  </si>
  <si>
    <t>286134632</t>
  </si>
  <si>
    <t>871251121R00</t>
  </si>
  <si>
    <t>899731113R00</t>
  </si>
  <si>
    <t>033VD</t>
  </si>
  <si>
    <t>673909991034</t>
  </si>
  <si>
    <t>057VD</t>
  </si>
  <si>
    <t>022VD</t>
  </si>
  <si>
    <t>42293250</t>
  </si>
  <si>
    <t>422915501</t>
  </si>
  <si>
    <t>899401112R00</t>
  </si>
  <si>
    <t>42291352</t>
  </si>
  <si>
    <t>891241111R00</t>
  </si>
  <si>
    <t>722219191R00</t>
  </si>
  <si>
    <t>857601101R00</t>
  </si>
  <si>
    <t>857244121R00</t>
  </si>
  <si>
    <t>891249111R00</t>
  </si>
  <si>
    <t>016VD</t>
  </si>
  <si>
    <t>877252121R00</t>
  </si>
  <si>
    <t>023VD</t>
  </si>
  <si>
    <t>181101102R00</t>
  </si>
  <si>
    <t>451572111R00</t>
  </si>
  <si>
    <t>175101101RT2</t>
  </si>
  <si>
    <t>174101101R00</t>
  </si>
  <si>
    <t>58344197</t>
  </si>
  <si>
    <t>174101102R00</t>
  </si>
  <si>
    <t>048VD</t>
  </si>
  <si>
    <t>050VD</t>
  </si>
  <si>
    <t>053VD</t>
  </si>
  <si>
    <t>054VD</t>
  </si>
  <si>
    <t>049VD</t>
  </si>
  <si>
    <t>891247111R00</t>
  </si>
  <si>
    <t>056VD</t>
  </si>
  <si>
    <t>42291452</t>
  </si>
  <si>
    <t>019VD</t>
  </si>
  <si>
    <t>020VD</t>
  </si>
  <si>
    <t>021VD</t>
  </si>
  <si>
    <t>733200010RA0</t>
  </si>
  <si>
    <t>831230110RA0</t>
  </si>
  <si>
    <t>029VD</t>
  </si>
  <si>
    <t>894431112R00</t>
  </si>
  <si>
    <t>017VD</t>
  </si>
  <si>
    <t>31941906</t>
  </si>
  <si>
    <t>018VD</t>
  </si>
  <si>
    <t>024VD</t>
  </si>
  <si>
    <t>052VD</t>
  </si>
  <si>
    <t>899712111R00</t>
  </si>
  <si>
    <t>H27</t>
  </si>
  <si>
    <t>998276101R00</t>
  </si>
  <si>
    <t>005VD</t>
  </si>
  <si>
    <t>025VD</t>
  </si>
  <si>
    <t>721110809R00</t>
  </si>
  <si>
    <t>721110819R00</t>
  </si>
  <si>
    <t>979081111R00</t>
  </si>
  <si>
    <t>979081121R00</t>
  </si>
  <si>
    <t>831372121RT3</t>
  </si>
  <si>
    <t>831392121RT2</t>
  </si>
  <si>
    <t>283141494</t>
  </si>
  <si>
    <t>451535111R00</t>
  </si>
  <si>
    <t>452312131R00</t>
  </si>
  <si>
    <t>59711562</t>
  </si>
  <si>
    <t>59711561</t>
  </si>
  <si>
    <t>837391221RT2</t>
  </si>
  <si>
    <t>59711554</t>
  </si>
  <si>
    <t>59711550</t>
  </si>
  <si>
    <t>837371221RT2</t>
  </si>
  <si>
    <t>28656143</t>
  </si>
  <si>
    <t>28656134</t>
  </si>
  <si>
    <t>28656148</t>
  </si>
  <si>
    <t>28656142</t>
  </si>
  <si>
    <t>28656139</t>
  </si>
  <si>
    <t>28656133</t>
  </si>
  <si>
    <t>877373123R00</t>
  </si>
  <si>
    <t>28651858.A</t>
  </si>
  <si>
    <t>28651859.A</t>
  </si>
  <si>
    <t>894412311RBB</t>
  </si>
  <si>
    <t>894411010RBE</t>
  </si>
  <si>
    <t>892593111R00</t>
  </si>
  <si>
    <t>892916111R00</t>
  </si>
  <si>
    <t>892601154R00</t>
  </si>
  <si>
    <t>892591111R00</t>
  </si>
  <si>
    <t>892855116R00</t>
  </si>
  <si>
    <t>894431321RBA</t>
  </si>
  <si>
    <t>831350113RAF</t>
  </si>
  <si>
    <t>831350114RAF</t>
  </si>
  <si>
    <t>998275101R00</t>
  </si>
  <si>
    <t>181201102R00</t>
  </si>
  <si>
    <t>215901101R00</t>
  </si>
  <si>
    <t>212810010RAC</t>
  </si>
  <si>
    <t>564851111RT4</t>
  </si>
  <si>
    <t>564851113RT4</t>
  </si>
  <si>
    <t>577112124R00</t>
  </si>
  <si>
    <t>565151211R00</t>
  </si>
  <si>
    <t>573231111R00</t>
  </si>
  <si>
    <t>567211125R00</t>
  </si>
  <si>
    <t>465921135R00</t>
  </si>
  <si>
    <t>592162116</t>
  </si>
  <si>
    <t>591100010RAB</t>
  </si>
  <si>
    <t>564851114RT4</t>
  </si>
  <si>
    <t>917862111R00</t>
  </si>
  <si>
    <t>59217472</t>
  </si>
  <si>
    <t>H22</t>
  </si>
  <si>
    <t>998225111R00</t>
  </si>
  <si>
    <t>026VD</t>
  </si>
  <si>
    <t>006VD</t>
  </si>
  <si>
    <t>027VD</t>
  </si>
  <si>
    <t>028VD</t>
  </si>
  <si>
    <t>Rekonstrukce inženýrských sítí v ulici Dvořákova</t>
  </si>
  <si>
    <t>Pelhřimov</t>
  </si>
  <si>
    <t>Zkrácený popis / Varianta</t>
  </si>
  <si>
    <t>Rozměry</t>
  </si>
  <si>
    <t>Vodovodní větev</t>
  </si>
  <si>
    <t>Přípravné a přidružené práce</t>
  </si>
  <si>
    <t>Práce provozovatele při odstávkách</t>
  </si>
  <si>
    <t>Náhradní zásobování vodou-suchovod</t>
  </si>
  <si>
    <t>Vytyčení stáv.inž.sítí</t>
  </si>
  <si>
    <t>Vytyčení vlastního objektu vodovodu</t>
  </si>
  <si>
    <t>Roubení</t>
  </si>
  <si>
    <t>Pažení a rozepření stěn rýh - příložné - hl.do 4 m</t>
  </si>
  <si>
    <t>Odstranění pažení stěn - příložné - hl. do 4 m</t>
  </si>
  <si>
    <t>Zemní práce</t>
  </si>
  <si>
    <t>Fréz.živič krytu nad 500 m2, bez překážek,tl.10 cm</t>
  </si>
  <si>
    <t>Odstranění podkladu nad 50 m2,kam.drcené tl.30 cm</t>
  </si>
  <si>
    <t>Rozebrání dlažeb z betonových dlaždic na sucho</t>
  </si>
  <si>
    <t>Vytrhání obrub obrubníků silničních</t>
  </si>
  <si>
    <t>Vodorovná doprava suti a hmot po suchu do 6000 m</t>
  </si>
  <si>
    <t>Nakládání suti na dopravní prostředky - komunikace</t>
  </si>
  <si>
    <t>Uložení sypaniny do násypů nezhutněných-komunikace</t>
  </si>
  <si>
    <t>Vykopávky zářezů v hor.3 do 10000 m3</t>
  </si>
  <si>
    <t>Vykopávky zářezů v hor.4 do 10000 m3</t>
  </si>
  <si>
    <t>Vykopávky zářezů v hor.5 do 10000 m3</t>
  </si>
  <si>
    <t>Vykopávky zářezů v hor.6 do 10000 m3</t>
  </si>
  <si>
    <t>Vykopávky zářezů v hor.7 do 10000 m3</t>
  </si>
  <si>
    <t>Příplatek za lepivost - výkop zářezů v hor.3</t>
  </si>
  <si>
    <t>Příplatek za lepivost - výkop zářezů v hor.4</t>
  </si>
  <si>
    <t>Uložení sypaniny do násypů nezhutněných</t>
  </si>
  <si>
    <t>Svislé přemístění výkopku z hor.1-4 do 2,5 m</t>
  </si>
  <si>
    <t>Ruční výkop v hornině 3</t>
  </si>
  <si>
    <t>svislé přemístění, odvoz kolečkem do 20 m</t>
  </si>
  <si>
    <t>Vodorovné přemístění výkopku z hor.1-4 do 10000 m</t>
  </si>
  <si>
    <t>nosnost 12 t</t>
  </si>
  <si>
    <t>Příplatek k vod. přemístění hor.1-4 za další 1 km</t>
  </si>
  <si>
    <t>nosnost 30 t</t>
  </si>
  <si>
    <t>Vodorovné přemístění výkopku z hor.5-7 do 10000 m</t>
  </si>
  <si>
    <t>Příplatek k vod. přemístění hor.5-7 za další 1 km</t>
  </si>
  <si>
    <t>Nakládání výkopku z hor.1-4 v množství nad 100 m3</t>
  </si>
  <si>
    <t>Příplatek za ztížené hloubení v blízkosti vedení</t>
  </si>
  <si>
    <t>Dočasné zajištění kabelů - do počtu 3 kabelů</t>
  </si>
  <si>
    <t>Dočasné zajištění betonového potrubí DN 200-500 mm</t>
  </si>
  <si>
    <t>Dočasné zajištění beton.a plast. potrubí do DN 200</t>
  </si>
  <si>
    <t>Pohotovost čerp.soupravy, výška 10 m, přítok 500 l</t>
  </si>
  <si>
    <t>Čerpání vody/kalů na výšku do 10 m, přítok do 500 l/min</t>
  </si>
  <si>
    <t>Pokládka potrubí</t>
  </si>
  <si>
    <t>Demontáž potrubí litinového DN 100</t>
  </si>
  <si>
    <t>Trubka vodovodní PE RC SDR 17  90x5,4 mm</t>
  </si>
  <si>
    <t>Montáž trubek polyetylenových ve výkopu d 110 mm</t>
  </si>
  <si>
    <t>Vodič signalizační CYY 4 mm2</t>
  </si>
  <si>
    <t>Vytyčovací drát měděný</t>
  </si>
  <si>
    <t>Fólie výstražná šířka 34 cm modrá síťovina</t>
  </si>
  <si>
    <t>Šoupě E2 S2000 DN80</t>
  </si>
  <si>
    <t>Šoupě přírubové DN80</t>
  </si>
  <si>
    <t>Souprava zemní 9500E2 DN50 -100, 1,3-1,8m</t>
  </si>
  <si>
    <t>Deska nosná šoupátkového poklopu</t>
  </si>
  <si>
    <t>Osazení poklopů litinových</t>
  </si>
  <si>
    <t>Poklop litinový šoup.</t>
  </si>
  <si>
    <t>Montáž vodovodních šoupátek ve výkopu DN 80</t>
  </si>
  <si>
    <t>Montáž souprav zemních</t>
  </si>
  <si>
    <t>Montáž tvarovek jednoosých, tvárná litina DN 80</t>
  </si>
  <si>
    <t>Montáž tvarovek litin. odboč. přír. výkop DN 80</t>
  </si>
  <si>
    <t>Montáž navrtávacích pasů DN 80</t>
  </si>
  <si>
    <t>Pas navrtávací uzavírací - HAKU ZAK 5320 90/34</t>
  </si>
  <si>
    <t>Přirážka za 1 spoj elektrotvarovky d 110 mm</t>
  </si>
  <si>
    <t>Spojka elektro 90 PE 100 SDR 11</t>
  </si>
  <si>
    <t>Úprava pláně v zářezech v hor. 1-4, se zhutněním</t>
  </si>
  <si>
    <t>Lože pod potrubí z kameniva těženého 0 - 4 mm</t>
  </si>
  <si>
    <t>Obsyp potrubí bez prohození sypaniny</t>
  </si>
  <si>
    <t>s dodáním štěrkopísku frakce 0 - 22 mm</t>
  </si>
  <si>
    <t>Zásyp jam, rýh, šachet se zhutněním</t>
  </si>
  <si>
    <t>Štěrkodrtě frakce 0-63 A</t>
  </si>
  <si>
    <t>Zásyp ruční se zhutněním</t>
  </si>
  <si>
    <t>S2000 oblouk 30°-90°</t>
  </si>
  <si>
    <t>Koleno patní DN80</t>
  </si>
  <si>
    <t>TVAROVKA S2000 T KUS 90-90</t>
  </si>
  <si>
    <t>TVAROVKA S2000 HRDLA / PŘÍRUBA 90/80</t>
  </si>
  <si>
    <t>TVAROVKA S2000 T KUS 125-90</t>
  </si>
  <si>
    <t>Hydrant podzemní pl.průt. DN 80 krycí hloubka 1500</t>
  </si>
  <si>
    <t>Montáž hydrantů podzemních DN 80</t>
  </si>
  <si>
    <t>Podklad. deska hydrant</t>
  </si>
  <si>
    <t>Poklop litinový hydrantový</t>
  </si>
  <si>
    <t>Šroub s maticí, nerezová ocel, M16, dl 70 mmm</t>
  </si>
  <si>
    <t>Podložka nerezová ocel pro M 16</t>
  </si>
  <si>
    <t>Ploché těsnění NBR ocelovou vložkou DN 80</t>
  </si>
  <si>
    <t>Vodovodní přípojky</t>
  </si>
  <si>
    <t>Demontáž potrubí ocelového do DN 40</t>
  </si>
  <si>
    <t>Vodovodní přípojka z trub polyetylénových D 25-63</t>
  </si>
  <si>
    <t>Napojení stávající přípojky na novou přípojku</t>
  </si>
  <si>
    <t>Osazení plastové šachty z dílů</t>
  </si>
  <si>
    <t>Šoupátko 2810 ZAK 34/ISO D.PŘ.32, PN 16</t>
  </si>
  <si>
    <t>Zátka DN 32</t>
  </si>
  <si>
    <t>Zemní souprava ventilová, teleskop. DN 3“ až 2“, hl. 1,3-1,8 m.</t>
  </si>
  <si>
    <t>ISO spojka 6300 D 32, PN 16</t>
  </si>
  <si>
    <t>Vodoměrná šachta HUTIRA</t>
  </si>
  <si>
    <t>Orientační tabulky na zdivu</t>
  </si>
  <si>
    <t>Vedení trubní dálková a přípojná</t>
  </si>
  <si>
    <t>Přesun hmot, trubní vedení plastová, otevř. výkop</t>
  </si>
  <si>
    <t>Ostatní materiál</t>
  </si>
  <si>
    <t>Geodetické zaměření vodovodu</t>
  </si>
  <si>
    <t>Kanalizační stoka</t>
  </si>
  <si>
    <t>Vytyčení vlastního objektu kanalizace</t>
  </si>
  <si>
    <t>Čerpání vody na výšku do 10 m, přítok do 500 l/min</t>
  </si>
  <si>
    <t>Kompletní vybourání šachet</t>
  </si>
  <si>
    <t>Demontáž potrubí z kameninových/bet. trub DN 300</t>
  </si>
  <si>
    <t>Demontáž potrubí z kameninových/bet. trub DN 400</t>
  </si>
  <si>
    <t>Odvoz suti a vybour. hmot na skládku do 1 km</t>
  </si>
  <si>
    <t>Příplatek k odvozu za každý další 1 km</t>
  </si>
  <si>
    <t>Montáž trub kameninových, pryž. kroužek, DN 300, včetně dodávky trub kamenin. DN 300 dl. 2500 mm</t>
  </si>
  <si>
    <t>včetně dodávky trub kamenin. DN 300 dl. 2500 mm</t>
  </si>
  <si>
    <t>Montáž trub kameninových, pryž. kroužek, DN 400, včetně dodávky trub kamenin. DN 400 dl. 2500 mm</t>
  </si>
  <si>
    <t>včetně dodávky trub kamenin. DN 400 dl. 2500 mm</t>
  </si>
  <si>
    <t>Fólie výstražná pro kanal. š. 300 mm hnědá</t>
  </si>
  <si>
    <t>Podkladní vrstva tl. do 25 cm ze štěrku 11/22</t>
  </si>
  <si>
    <t>Vč. dodání štěrku</t>
  </si>
  <si>
    <t>Sedlové lože pod potrubí z betonu C 12/15</t>
  </si>
  <si>
    <t>Odbočka 90° kamenina hrdlová 400/200 FN 64/32</t>
  </si>
  <si>
    <t>Odbočka 90° kamenina hrdlová 400/150 FN 80/34</t>
  </si>
  <si>
    <t>Montáž tvarov. kamenin. odboč. pryž. krouž. DN 400</t>
  </si>
  <si>
    <t>Odbočka 45° kamenina hrdlová 300/200 FN 72/40</t>
  </si>
  <si>
    <t>Odbočka 45° kamenina hrdlová 300/150 FN 72/34</t>
  </si>
  <si>
    <t>Montáž tvarov. kamenin. odboč. pryž. krouž. DN 300</t>
  </si>
  <si>
    <t>Koleno kanalizační odolné PPKGB DN 200 mm 45°</t>
  </si>
  <si>
    <t>Koleno kanalizační odolné PPKGB DN 200 mm 15°</t>
  </si>
  <si>
    <t>Koleno kanalizační odolné PPKGB DN 160 mm 67°</t>
  </si>
  <si>
    <t>Koleno kanalizační odolné PPKGB DN 160 mm 45°</t>
  </si>
  <si>
    <t>Koleno kanalizační odolné PPKGB DN 160 mm 30°</t>
  </si>
  <si>
    <t>Koleno kanalizační odolné PPKGB DN 160 mm 15°</t>
  </si>
  <si>
    <t>Montáž tvarovek jednoos. plast. gum.kroužek DN 300</t>
  </si>
  <si>
    <t>Přechod kamenina-PVC kanalizační KGUS 160 PVC</t>
  </si>
  <si>
    <t>Přechod kamenina-PVC kanalizační KGUS 200 PVC</t>
  </si>
  <si>
    <t>Ostatní konstrukce a práce na trubním vedení</t>
  </si>
  <si>
    <t>Geodetické zaměření kanalizace</t>
  </si>
  <si>
    <t>Šachta, DN 1000 stěna 120 mm, dno přímé V max. 40</t>
  </si>
  <si>
    <t>poklop litina 40 t</t>
  </si>
  <si>
    <t>Vpusť uliční z dílců DN 450,s odkalištěm,napojení</t>
  </si>
  <si>
    <t>DN 200, mříž litina 500x500 25 t, hl. 1,74 m</t>
  </si>
  <si>
    <t>Zabezpečení konců kanal. potrubí DN do 400</t>
  </si>
  <si>
    <t>Utěsnění přípojek do DN 200 při zkoušce kanal.</t>
  </si>
  <si>
    <t>Čištění kanalizační stoky do DN 500, nad 100 m</t>
  </si>
  <si>
    <t>Zkouška těsnosti kanalizace DN do 400, vodou</t>
  </si>
  <si>
    <t>Kontrola kanalizace TV kamerou 500 m</t>
  </si>
  <si>
    <t>Kanalizační přípojky</t>
  </si>
  <si>
    <t>Šachta, D 425 mm, dl.šach.roury do 2,0 m, přímá</t>
  </si>
  <si>
    <t>dno KG D 160 mm, poklop litina 12,5 t</t>
  </si>
  <si>
    <t>Kanalizační přípojka z trub PVC, D 160 mm</t>
  </si>
  <si>
    <t>rýha šířky 0,9 m, hloubky 2,0 m</t>
  </si>
  <si>
    <t>Kanalizační přípojka z trub PP, D 200 mm</t>
  </si>
  <si>
    <t>Přesun hmot, kanalizace kameninové, otevřený výkop</t>
  </si>
  <si>
    <t>Oprava povrchů</t>
  </si>
  <si>
    <t>Povrchové úpravy terénu</t>
  </si>
  <si>
    <t>Úprava pláně v násypech v hor. 1-4, se zhutněním</t>
  </si>
  <si>
    <t>Úprava podloží a základové spáry</t>
  </si>
  <si>
    <t>Zhutnění podloží z hornin nesoudržných do 92% PS</t>
  </si>
  <si>
    <t>Trativody z PVC drenážních flexibilních trubek vč. napojení na kanalizaci</t>
  </si>
  <si>
    <t>lože štěrkopísek a obsyp kamenivo, trubky d 100 mm</t>
  </si>
  <si>
    <t>Komunikace-Zpevněné plochy</t>
  </si>
  <si>
    <t>Podklad ze štěrkodrti po zhutnění tloušťky 15 cm-komunikace</t>
  </si>
  <si>
    <t>štěrkodrť frakce 0-63 mm</t>
  </si>
  <si>
    <t>Podklad ze štěrkodrti po zhutnění tloušťky 17 cm-komunikace</t>
  </si>
  <si>
    <t>Beton asfalt. ACO 11 S modifik. š.nad 3 m, tl.5 cm</t>
  </si>
  <si>
    <t>Podklad z obal kam.ACP 16+,ACP 22+,nad 3 m,tl.7 cm</t>
  </si>
  <si>
    <t>Postřik živičný spojovací z emulze 0,5-0,7 kg/m2- dvě vrstvy</t>
  </si>
  <si>
    <t>Podklad z prostého betonu tř. I  tloušťky 25 cm</t>
  </si>
  <si>
    <t>Kladení dlažby betonové, železobetonové desky</t>
  </si>
  <si>
    <t>Přídlažba silniční nízká  ABK 50/25/8 přírodní</t>
  </si>
  <si>
    <t>Kryty pozemních komunikací, letišť a ploch dlážděných (předlažby)</t>
  </si>
  <si>
    <t>Chodník z dlažby, podklad beton prostý</t>
  </si>
  <si>
    <t>dlažba zámková červená, tloušťka 6 cm</t>
  </si>
  <si>
    <t>Podklad ze štěrkodrti po zhutnění tloušťky 18 cm-chodníky</t>
  </si>
  <si>
    <t>Osazení obrub.bet. s opěrou,lože z C 12/15</t>
  </si>
  <si>
    <t>Obrubník silniční 1000/150/250 šedý</t>
  </si>
  <si>
    <t>Komunikace pozemní a letiště</t>
  </si>
  <si>
    <t>Přesun hmot, pozemní komunikace, kryt živičný</t>
  </si>
  <si>
    <t>Geodetické zaměření chodníku a komunikace</t>
  </si>
  <si>
    <t>Statické zkoušky zhutnění pláně</t>
  </si>
  <si>
    <t>Dopravní značení</t>
  </si>
  <si>
    <t>Stavebně-statický průzkum</t>
  </si>
  <si>
    <t>Dopravní značení na staveništi</t>
  </si>
  <si>
    <t>Doba výstavby:</t>
  </si>
  <si>
    <t>Začátek výstavby:</t>
  </si>
  <si>
    <t>Konec výstavby:</t>
  </si>
  <si>
    <t>Zpracováno dne:</t>
  </si>
  <si>
    <t>MJ</t>
  </si>
  <si>
    <t>m</t>
  </si>
  <si>
    <t>soubor</t>
  </si>
  <si>
    <t>m2</t>
  </si>
  <si>
    <t>t</t>
  </si>
  <si>
    <t>m3</t>
  </si>
  <si>
    <t>den</t>
  </si>
  <si>
    <t>h</t>
  </si>
  <si>
    <t>ks</t>
  </si>
  <si>
    <t>kus</t>
  </si>
  <si>
    <t>kpl.</t>
  </si>
  <si>
    <t>úsek</t>
  </si>
  <si>
    <t>sada</t>
  </si>
  <si>
    <t>Množství</t>
  </si>
  <si>
    <t>10.09.2019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</si>
  <si>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</si>
  <si>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</si>
  <si>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</si>
  <si>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</si>
  <si>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</si>
  <si>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</si>
  <si>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</si>
  <si>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</si>
  <si>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</si>
  <si>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Město Pelhřimov</t>
  </si>
  <si>
    <t>Realizace a projekce staveb s.r.o.</t>
  </si>
  <si>
    <t> </t>
  </si>
  <si>
    <t>Montáž</t>
  </si>
  <si>
    <t>Celkem</t>
  </si>
  <si>
    <t>%</t>
  </si>
  <si>
    <t>Hmotnost (t)</t>
  </si>
  <si>
    <t>Jednot.</t>
  </si>
  <si>
    <t>Cenová</t>
  </si>
  <si>
    <t>soustava</t>
  </si>
  <si>
    <t>RTS I / 2019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</si>
  <si>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</si>
  <si>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</si>
  <si>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</si>
  <si>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</si>
  <si>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</si>
  <si>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</si>
  <si>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</si>
  <si>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</si>
  <si>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</si>
  <si>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</si>
  <si>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</si>
  <si>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1_</t>
  </si>
  <si>
    <t>2_</t>
  </si>
  <si>
    <t>87_</t>
  </si>
  <si>
    <t>3_</t>
  </si>
  <si>
    <t>83_</t>
  </si>
  <si>
    <t>H27_</t>
  </si>
  <si>
    <t>Z99999_</t>
  </si>
  <si>
    <t>22_</t>
  </si>
  <si>
    <t>89_</t>
  </si>
  <si>
    <t>18_</t>
  </si>
  <si>
    <t>21_</t>
  </si>
  <si>
    <t>56_</t>
  </si>
  <si>
    <t>59_</t>
  </si>
  <si>
    <t>H22_</t>
  </si>
  <si>
    <t>001_1_</t>
  </si>
  <si>
    <t>001_2_</t>
  </si>
  <si>
    <t>001_8_</t>
  </si>
  <si>
    <t>001_3_</t>
  </si>
  <si>
    <t>001_9_</t>
  </si>
  <si>
    <t>001_Z_</t>
  </si>
  <si>
    <t>002_1_</t>
  </si>
  <si>
    <t>002_2_</t>
  </si>
  <si>
    <t>002_8_</t>
  </si>
  <si>
    <t>002_3_</t>
  </si>
  <si>
    <t>002_9_</t>
  </si>
  <si>
    <t>003_1_</t>
  </si>
  <si>
    <t>003_2_</t>
  </si>
  <si>
    <t>003_5_</t>
  </si>
  <si>
    <t>003_9_</t>
  </si>
  <si>
    <t>003_Z_</t>
  </si>
  <si>
    <t>001_</t>
  </si>
  <si>
    <t>002_</t>
  </si>
  <si>
    <t>003_</t>
  </si>
  <si>
    <t>MAT</t>
  </si>
  <si>
    <t>WORK</t>
  </si>
  <si>
    <t>CELK</t>
  </si>
  <si>
    <t>247,40+107,7   Délka vodovodu+přípojek</t>
  </si>
  <si>
    <t>9/2   počet inženýrských sítí/2</t>
  </si>
  <si>
    <t>1   </t>
  </si>
  <si>
    <t>(142+118+186)   změřeno z podélného profilu</t>
  </si>
  <si>
    <t>2050/2   změřeno ze situace/2</t>
  </si>
  <si>
    <t>(2050+1100)/2   Odstranění kčních. vrstev komunikace a chodníku/2</t>
  </si>
  <si>
    <t>1100/2   Plocha chodníku/2</t>
  </si>
  <si>
    <t>(250+261+38)/2   Délka obrubníků/2</t>
  </si>
  <si>
    <t>(225,5+1039,5+75,9+74,12)   Odvoz kčních. vrstev komunikace a chodníku</t>
  </si>
  <si>
    <t>(225,5+1039,5+75,9+74,12)   </t>
  </si>
  <si>
    <t>(2050+1100)*0,4/2   Odvoz kčních. vrstev komunikace a chodníku/2</t>
  </si>
  <si>
    <t>(111+92+145)*1,0*0,70   70%, změřeno z podélného profilu, š. rýhy 1,0 m</t>
  </si>
  <si>
    <t>(111+92+145)*1,0*0,10   10%, změřeno z podélného profilu, š. rýhy 1,0 m</t>
  </si>
  <si>
    <t>(111+92+145)*1,0*0,05   5%, změřeno z podélného profilu, š. rýhy 1,0 m</t>
  </si>
  <si>
    <t>(111+92+145)*1,0   Vykopávky</t>
  </si>
  <si>
    <t>(111+92+145)*1,0*0,08   8% z výkopů</t>
  </si>
  <si>
    <t>1*1,1*0,5*31   ruční výkop při křížení</t>
  </si>
  <si>
    <t>(111+92+145)*1,0*0,8   80%, změřeno z podélného profilu, š. rýhy 1,0 m</t>
  </si>
  <si>
    <t>(111+92+145)*1,0*0,8*5   80%, změřeno z podélného profilu, š. rýhy 1,0 m- 5km</t>
  </si>
  <si>
    <t>(111+92+145)*1,0*0,20   20%, změřeno z podélného profilu, š. rýhy 1,0 m</t>
  </si>
  <si>
    <t>(111+92+145)*1,0*0,20*5   80%, změřeno z podélného profilu, š. rýhy 1,0 m- 5km</t>
  </si>
  <si>
    <t>(111+92+145)*1,0+17,05   součet výkopů</t>
  </si>
  <si>
    <t>2,5*1,0*1*31   výkop v blízkosti vedení</t>
  </si>
  <si>
    <t>31*1,0   počet křížení*šířka výkopu</t>
  </si>
  <si>
    <t>20*1,0   Přípojky*šířka výkopu</t>
  </si>
  <si>
    <t>20*1,0   20*1,0  Vodovod. přípojky*šířka výkopu</t>
  </si>
  <si>
    <t>272,85/6/2   Počet dnů/2</t>
  </si>
  <si>
    <t>272,85/6/2*8   Počet hodin/2</t>
  </si>
  <si>
    <t>247,40   délka vodovodu</t>
  </si>
  <si>
    <t>247,40   Délka vodovodu</t>
  </si>
  <si>
    <t>;ztratné 3%; 7,422   </t>
  </si>
  <si>
    <t>247+12   Délka vodiče</t>
  </si>
  <si>
    <t>;ztratné 3%; 7,77   </t>
  </si>
  <si>
    <t>;ztratné 10%; 24,74   </t>
  </si>
  <si>
    <t>2   Počet šoupat</t>
  </si>
  <si>
    <t>2   počet hydrantů</t>
  </si>
  <si>
    <t>4   Počet šoupat</t>
  </si>
  <si>
    <t>4+20   Počet šoupat+šoupátek</t>
  </si>
  <si>
    <t>20+4+2   Počet šoupat+šoupátek+hydrantů</t>
  </si>
  <si>
    <t>6   Počet tvarovek</t>
  </si>
  <si>
    <t>4   Počet tvarovek</t>
  </si>
  <si>
    <t>20   Počet přípojek</t>
  </si>
  <si>
    <t>20   počet přípojek</t>
  </si>
  <si>
    <t>31   </t>
  </si>
  <si>
    <t>31   počet spojů</t>
  </si>
  <si>
    <t>247,40*1   Plocha dna výkopu</t>
  </si>
  <si>
    <t>(247*1)*0,1   </t>
  </si>
  <si>
    <t>247,4*1*0,3   délka vodovdou*plocha obsypu v řezu</t>
  </si>
  <si>
    <t>(79+65+103)*1   změřeno z podélného profilu*š. výkopu</t>
  </si>
  <si>
    <t>(79+65+103)*1*1,7   změřeno z podélného profilu*š. výkopu</t>
  </si>
  <si>
    <t>1*1,1*0,5*31   ruční zásyp při křížení</t>
  </si>
  <si>
    <t>4   počet oblouků</t>
  </si>
  <si>
    <t>2   Počet hydrantů</t>
  </si>
  <si>
    <t>2   </t>
  </si>
  <si>
    <t>18*2   18ks*počet hydrantů</t>
  </si>
  <si>
    <t>6   </t>
  </si>
  <si>
    <t>3,1+7,1+2,8+9+3,2+8,7+3,4+3,6+8,5+3,8+8,8+3+3,2+9,5+6,8+3,1+6,7+3,1+3,3+7   délky přípojek ze situace</t>
  </si>
  <si>
    <t>(3,1+7,1+2,8+9+3,2+8,7+3,4+3,6+8,5+3,8+8,8+3+3,2+9,5+6,8+3,1+6,7+3,1+3,3+7)*1,5*0,8   vykopávky přípojek</t>
  </si>
  <si>
    <t>(3,1+7,1+2,8+9+3,2+8,7+3,4+3,6+8,5+3,8+8,8+3+3,2+9,5+6,8+3,1+6,7+3,1+3,3+7)*1,5*0,8*5   vykopávky přípojek, 5 km</t>
  </si>
  <si>
    <t>(3,1+7,1+2,8+9+3,2+8,7+3,4+3,6+8,5+3,8+8,8+3+3,2+9,5+6,8+3,1+6,7+3,1+3,3+7)*1,5*0,8*1,7   délka*š. výkopu*hl. výkopu</t>
  </si>
  <si>
    <t>20+2+2   Počet přípojek+šoupata+hydranty</t>
  </si>
  <si>
    <t>247,4+107,7   Délka vodovodu+přípojek</t>
  </si>
  <si>
    <t>(247,5+190+275+58)+272,85   změřeno z podélného profilu</t>
  </si>
  <si>
    <t>(217+163+233+49)*1,1*0,70   70%, změřeno z podélného profilu, š. rýhy 1,1 m</t>
  </si>
  <si>
    <t>(217+163+233+49)*1,1*0,10   10%, změřeno z podélného profilu, š. rýhy 1,1 m</t>
  </si>
  <si>
    <t>(217+163+233+49)*1,1*0,05   5%, změřeno z podélného profilu, š. rýhy 1,1 m</t>
  </si>
  <si>
    <t>(217+163+233+49)*1,1*0,08   8% z výkopů</t>
  </si>
  <si>
    <t>1*1,1*0,5*33   ruční výkop při křížení</t>
  </si>
  <si>
    <t>(217+163+233+49)*1,1+18,15   součet výkopů</t>
  </si>
  <si>
    <t>(217+163+233+49)*1,1*0,80+18,15   80%, změřeno z podélného profilu, š. rýhy 1,1 m</t>
  </si>
  <si>
    <t>(217+163+233+49)*1,1*0,80*5   80%, změřeno z podélného profilu, š. rýhy 1,1 m, 5km</t>
  </si>
  <si>
    <t>(217+163+233+49)*1,1*0,20   20%, změřeno z podélného profilu, š. rýhy 1,1 m</t>
  </si>
  <si>
    <t>(217+163+233+49)*1,1*0,20*5   20%, změřeno z podélného profilu, š. rýhy 1,1 m, 5 km</t>
  </si>
  <si>
    <t>(217+163+233+49)*1,1   vykopávky</t>
  </si>
  <si>
    <t>2,5*1,1*1*33   výkop v blízkosti vedení</t>
  </si>
  <si>
    <t>33*1,1   počet křížení*šířka výkopu</t>
  </si>
  <si>
    <t>24*1,1   Přípojky*šířka výkopu</t>
  </si>
  <si>
    <t>24*1,1   Vodovod. přípojky*šířka výkopu</t>
  </si>
  <si>
    <t>20,3   </t>
  </si>
  <si>
    <t>184,22   Délka kanalizace</t>
  </si>
  <si>
    <t>88,63   Délka kanalizace</t>
  </si>
  <si>
    <t>28,2170+9,4339+8,1806   </t>
  </si>
  <si>
    <t>28,2170+9,4339+8,1806   vybouraná suť</t>
  </si>
  <si>
    <t>(28,2170+9,4339+8,1806)*4   vybouraná suť, 4 km</t>
  </si>
  <si>
    <t>184,22   délka dle podélného profilu</t>
  </si>
  <si>
    <t>88,63   délka dle podélného profilu</t>
  </si>
  <si>
    <t>272,85   Délka kanalizace</t>
  </si>
  <si>
    <t>;ztratné 10%; 27,285   </t>
  </si>
  <si>
    <t>272,85*1,1   délka kanalizace*šířka výkopu</t>
  </si>
  <si>
    <t>272,85*1,1*0,2   délka kanalizace*šířka výkopu*výška vrstvy</t>
  </si>
  <si>
    <t>0,25*272,85   plocha lože v řezu*délka kanalizace</t>
  </si>
  <si>
    <t>272,85*0,54   délka vodovdou*plocha obsypu v řezu</t>
  </si>
  <si>
    <t>(137,6+94,5+127,5+25)*1,1   změřeno z podélného profilu*š. výkopu</t>
  </si>
  <si>
    <t>(137,6+94,5+127,5+25)*1,1*1,7   změřeno z podélného profilu*š. výkopu</t>
  </si>
  <si>
    <t>1*1,1*0,5*33   ruční zásyp při křížení</t>
  </si>
  <si>
    <t>3   počet přípojek</t>
  </si>
  <si>
    <t>9   počet přípojek</t>
  </si>
  <si>
    <t>12   </t>
  </si>
  <si>
    <t>8   počet přípojek</t>
  </si>
  <si>
    <t>15   počet přípojek</t>
  </si>
  <si>
    <t>15+8   počet přípojek</t>
  </si>
  <si>
    <t>13*2   počet přípojek*2</t>
  </si>
  <si>
    <t>24*2   počet přípojek*2</t>
  </si>
  <si>
    <t>26+26+48+48+48+48   počet tvarovek</t>
  </si>
  <si>
    <t>24   počet přípojek</t>
  </si>
  <si>
    <t>11   počet uličních vpustí</t>
  </si>
  <si>
    <t>272,85+133,8+46,5   Délka kanalizace+přípojky</t>
  </si>
  <si>
    <t>8   </t>
  </si>
  <si>
    <t>13   </t>
  </si>
  <si>
    <t>8*2   počet šachet*2</t>
  </si>
  <si>
    <t>24+13   počet přípojek</t>
  </si>
  <si>
    <t>272,85+133,8+46,5   </t>
  </si>
  <si>
    <t>272,85+133,8+46,5   délka kanalizace+přípojky</t>
  </si>
  <si>
    <t>272,85   délka kanalizace</t>
  </si>
  <si>
    <t>5,8+4,5+8+5,5+4,7+5+7,2+5,2+5,3+7,3+5+7,4+5,7+5,5+7,5+4,5+4,7+5,1+5+5,1+5+5,6+4,6+4,6   přípojky z nemovitostí</t>
  </si>
  <si>
    <t>1,5+3,5+2,9+3,5+3,6+4+4+4+4+4+4+5+2,5   přípojky z uličních vpustí</t>
  </si>
  <si>
    <t>(5,8+4,5+8+5,5+4,7+5+7,2+5,2+5,3+7,3+5+7,4+5,7+5,5+7,5+4,5+4,7+5,1+5+5,1+5+5,6+4,6+4,6+46,5)*2,0*0,8   vykopávky přípojek</t>
  </si>
  <si>
    <t>(5,8+4,5+8+5,5+4,7+5+7,2+5,2+5,3+7,3+5+7,4+5,7+5,5+7,5+4,5+4,7+5,1+5+5,1+5+5,6+4,6+51,1)*2,0*0,8*1,7   délka*š. výkopu*hl. výkopu</t>
  </si>
  <si>
    <t>(5,8+4,5+8+5,5+4,7+5+7,2+5,2+5,3+7,3+5+7,4+5,7+5,5+7,5+4,5+4,7+5,1+5+5,1+5+5,6+4,6+51,1)*2,0*0,8   vykopávky přípojek</t>
  </si>
  <si>
    <t>(5,8+4,5+8+5,5+4,7+5+7,2+5,2+5,3+7,3+5+7,4+5,7+5,5+7,5+4,5+4,7+5,1+5+5,1+5+5,6+4,6+51,1)*2,0*0,8*5   vykopávky přípojek, 5 km</t>
  </si>
  <si>
    <t>3389,24   </t>
  </si>
  <si>
    <t>2050+1100   Plocha komunikace a chodníků</t>
  </si>
  <si>
    <t>250+260+30+38+38+13*3   Délka trativodů</t>
  </si>
  <si>
    <t>2050   Plocha komunikace</t>
  </si>
  <si>
    <t>2050*2   2050*2   Plocha, komunikace 1x podklad plus 1x asfalt</t>
  </si>
  <si>
    <t>87*0,5   Podklad pod přídlažbu</t>
  </si>
  <si>
    <t>87*0,5   plocha přídlažby</t>
  </si>
  <si>
    <t>348   počet kusů</t>
  </si>
  <si>
    <t>1100   </t>
  </si>
  <si>
    <t>1100   Plocha chodníků</t>
  </si>
  <si>
    <t>(250+261+38)   Délka obrubníků</t>
  </si>
  <si>
    <t>(250+261+38)   Počet obrubníků</t>
  </si>
  <si>
    <t>3871,9841   </t>
  </si>
  <si>
    <t>6   počet zkoušek</t>
  </si>
  <si>
    <t>Jednotková cena (Kč)</t>
  </si>
  <si>
    <t>Náklady dodávka (Kč)</t>
  </si>
  <si>
    <t>Náklady montáž (Kč)</t>
  </si>
  <si>
    <t>Náklady celkem (Kč)</t>
  </si>
  <si>
    <t>Celková/MJ</t>
  </si>
  <si>
    <t>Celková hmotnost(t)</t>
  </si>
  <si>
    <t>Cenová soustava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</si>
  <si>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</si>
  <si>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</si>
  <si>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</si>
  <si>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</si>
  <si>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</si>
  <si>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</si>
  <si>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</si>
  <si>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</si>
  <si>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</si>
  <si>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</si>
  <si>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</si>
  <si>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</si>
  <si>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</si>
  <si>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</si>
  <si>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</si>
  <si>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</si>
  <si>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</si>
  <si>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</si>
  <si>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</si>
  <si>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</si>
  <si>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</si>
  <si>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</si>
  <si>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</si>
  <si>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</si>
  <si>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</si>
  <si>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</si>
  <si>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</si>
  <si>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</si>
  <si>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</si>
  <si>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</si>
  <si>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</si>
  <si>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</si>
  <si>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</si>
  <si>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</si>
  <si>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</si>
  <si>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</si>
  <si>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</si>
  <si>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</si>
  <si>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</si>
  <si>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</si>
  <si>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</si>
  <si>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</si>
  <si>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</si>
  <si>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</si>
  <si>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</si>
  <si>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</si>
  <si>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</si>
  <si>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</si>
  <si>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</si>
  <si>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</si>
  <si>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</si>
  <si>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</si>
  <si>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</si>
  <si>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</si>
  <si>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</si>
  <si>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</si>
  <si>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</si>
  <si>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</si>
  <si>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</si>
  <si>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</si>
  <si>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</si>
  <si>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00248801/CZ00248801</t>
  </si>
  <si>
    <t>05344743/CZ05344743</t>
  </si>
  <si>
    <t>Slepý stavební 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</si>
</sst>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2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9" fontId="9" fillId="33" borderId="12" xfId="0" applyNumberFormat="1" applyFont="1" applyFill="1" applyBorder="1" applyAlignment="1" applyProtection="1">
      <alignment horizontal="center" vertical="center"/>
      <protection/>
    </xf>
    <xf numFmtId="9" fontId="10" fillId="34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6" fillId="0" borderId="29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9" fillId="33" borderId="30" xfId="0" applyNumberFormat="1" applyFont="1" applyFill="1" applyBorder="1" applyAlignment="1" applyProtection="1">
      <alignment horizontal="right" vertical="center"/>
      <protection/>
    </xf>
    <xf numFmtId="4" fontId="10" fillId="34" borderId="29" xfId="0" applyNumberFormat="1" applyFont="1" applyFill="1" applyBorder="1" applyAlignment="1" applyProtection="1">
      <alignment horizontal="right" vertical="center"/>
      <protection/>
    </xf>
    <xf numFmtId="4" fontId="9" fillId="33" borderId="29" xfId="0" applyNumberFormat="1" applyFont="1" applyFill="1" applyBorder="1" applyAlignment="1" applyProtection="1">
      <alignment horizontal="right" vertical="center"/>
      <protection/>
    </xf>
    <xf numFmtId="4" fontId="9" fillId="33" borderId="31" xfId="0" applyNumberFormat="1" applyFont="1" applyFill="1" applyBorder="1" applyAlignment="1" applyProtection="1">
      <alignment horizontal="right" vertical="center"/>
      <protection/>
    </xf>
    <xf numFmtId="4" fontId="10" fillId="34" borderId="24" xfId="0" applyNumberFormat="1" applyFont="1" applyFill="1" applyBorder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" fontId="9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3" fillId="35" borderId="33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15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5" fillId="0" borderId="33" xfId="0" applyNumberFormat="1" applyFont="1" applyFill="1" applyBorder="1" applyAlignment="1" applyProtection="1">
      <alignment horizontal="right" vertical="center"/>
      <protection/>
    </xf>
    <xf numFmtId="49" fontId="15" fillId="0" borderId="33" xfId="0" applyNumberFormat="1" applyFont="1" applyFill="1" applyBorder="1" applyAlignment="1" applyProtection="1">
      <alignment horizontal="right" vertical="center"/>
      <protection/>
    </xf>
    <xf numFmtId="4" fontId="1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4" fillId="35" borderId="4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/>
      <protection/>
    </xf>
    <xf numFmtId="49" fontId="6" fillId="0" borderId="33" xfId="0" applyNumberFormat="1" applyFont="1" applyFill="1" applyBorder="1" applyAlignment="1" applyProtection="1">
      <alignment horizontal="left" vertical="center"/>
      <protection/>
    </xf>
    <xf numFmtId="4" fontId="6" fillId="0" borderId="33" xfId="0" applyNumberFormat="1" applyFont="1" applyFill="1" applyBorder="1" applyAlignment="1" applyProtection="1">
      <alignment horizontal="right" vertical="center"/>
      <protection/>
    </xf>
    <xf numFmtId="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33" xfId="0" applyNumberFormat="1" applyFont="1" applyFill="1" applyBorder="1" applyAlignment="1" applyProtection="1">
      <alignment horizontal="left" vertical="center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5" fillId="34" borderId="33" xfId="0" applyNumberFormat="1" applyFont="1" applyFill="1" applyBorder="1" applyAlignment="1" applyProtection="1">
      <alignment horizontal="left" vertical="center"/>
      <protection/>
    </xf>
    <xf numFmtId="49" fontId="10" fillId="34" borderId="33" xfId="0" applyNumberFormat="1" applyFont="1" applyFill="1" applyBorder="1" applyAlignment="1" applyProtection="1">
      <alignment horizontal="left" vertical="center"/>
      <protection/>
    </xf>
    <xf numFmtId="4" fontId="10" fillId="34" borderId="33" xfId="0" applyNumberFormat="1" applyFont="1" applyFill="1" applyBorder="1" applyAlignment="1" applyProtection="1">
      <alignment horizontal="right" vertical="center"/>
      <protection/>
    </xf>
    <xf numFmtId="9" fontId="10" fillId="34" borderId="33" xfId="0" applyNumberFormat="1" applyFont="1" applyFill="1" applyBorder="1" applyAlignment="1" applyProtection="1">
      <alignment horizontal="center" vertical="center"/>
      <protection/>
    </xf>
    <xf numFmtId="49" fontId="10" fillId="34" borderId="33" xfId="0" applyNumberFormat="1" applyFont="1" applyFill="1" applyBorder="1" applyAlignment="1" applyProtection="1">
      <alignment horizontal="right" vertical="center"/>
      <protection/>
    </xf>
    <xf numFmtId="0" fontId="1" fillId="0" borderId="33" xfId="0" applyFont="1" applyBorder="1" applyAlignment="1">
      <alignment vertical="center"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49" fontId="4" fillId="33" borderId="33" xfId="0" applyNumberFormat="1" applyFont="1" applyFill="1" applyBorder="1" applyAlignment="1" applyProtection="1">
      <alignment horizontal="left" vertical="center"/>
      <protection/>
    </xf>
    <xf numFmtId="49" fontId="9" fillId="33" borderId="33" xfId="0" applyNumberFormat="1" applyFont="1" applyFill="1" applyBorder="1" applyAlignment="1" applyProtection="1">
      <alignment horizontal="left" vertical="center"/>
      <protection/>
    </xf>
    <xf numFmtId="4" fontId="9" fillId="33" borderId="33" xfId="0" applyNumberFormat="1" applyFont="1" applyFill="1" applyBorder="1" applyAlignment="1" applyProtection="1">
      <alignment horizontal="right" vertical="center"/>
      <protection/>
    </xf>
    <xf numFmtId="9" fontId="9" fillId="33" borderId="33" xfId="0" applyNumberFormat="1" applyFont="1" applyFill="1" applyBorder="1" applyAlignment="1" applyProtection="1">
      <alignment horizontal="center" vertical="center"/>
      <protection/>
    </xf>
    <xf numFmtId="49" fontId="9" fillId="33" borderId="33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3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" fontId="3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33" xfId="0" applyNumberFormat="1" applyFont="1" applyFill="1" applyBorder="1" applyAlignment="1" applyProtection="1">
      <alignment horizontal="right" vertical="center"/>
      <protection/>
    </xf>
    <xf numFmtId="4" fontId="6" fillId="0" borderId="33" xfId="0" applyNumberFormat="1" applyFont="1" applyFill="1" applyBorder="1" applyAlignment="1" applyProtection="1">
      <alignment horizontal="right" vertical="center"/>
      <protection/>
    </xf>
    <xf numFmtId="0" fontId="6" fillId="0" borderId="33" xfId="0" applyNumberFormat="1" applyFont="1" applyFill="1" applyBorder="1" applyAlignment="1" applyProtection="1">
      <alignment horizontal="right" vertical="center"/>
      <protection/>
    </xf>
    <xf numFmtId="49" fontId="6" fillId="0" borderId="33" xfId="0" applyNumberFormat="1" applyFont="1" applyFill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4" fontId="10" fillId="34" borderId="33" xfId="0" applyNumberFormat="1" applyFont="1" applyFill="1" applyBorder="1" applyAlignment="1" applyProtection="1">
      <alignment horizontal="right" vertical="center"/>
      <protection/>
    </xf>
    <xf numFmtId="0" fontId="10" fillId="34" borderId="33" xfId="0" applyNumberFormat="1" applyFont="1" applyFill="1" applyBorder="1" applyAlignment="1" applyProtection="1">
      <alignment horizontal="right" vertical="center"/>
      <protection/>
    </xf>
    <xf numFmtId="49" fontId="3" fillId="34" borderId="33" xfId="0" applyNumberFormat="1" applyFont="1" applyFill="1" applyBorder="1" applyAlignment="1" applyProtection="1">
      <alignment horizontal="left" vertical="center"/>
      <protection/>
    </xf>
    <xf numFmtId="0" fontId="3" fillId="34" borderId="33" xfId="0" applyNumberFormat="1" applyFont="1" applyFill="1" applyBorder="1" applyAlignment="1" applyProtection="1">
      <alignment horizontal="left" vertical="center"/>
      <protection/>
    </xf>
    <xf numFmtId="49" fontId="3" fillId="34" borderId="33" xfId="0" applyNumberFormat="1" applyFont="1" applyFill="1" applyBorder="1" applyAlignment="1" applyProtection="1">
      <alignment horizontal="right" vertical="center"/>
      <protection/>
    </xf>
    <xf numFmtId="0" fontId="3" fillId="34" borderId="33" xfId="0" applyNumberFormat="1" applyFont="1" applyFill="1" applyBorder="1" applyAlignment="1" applyProtection="1">
      <alignment horizontal="right" vertical="center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0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4" fontId="3" fillId="34" borderId="33" xfId="0" applyNumberFormat="1" applyFont="1" applyFill="1" applyBorder="1" applyAlignment="1" applyProtection="1">
      <alignment horizontal="right" vertical="center"/>
      <protection/>
    </xf>
    <xf numFmtId="4" fontId="9" fillId="33" borderId="33" xfId="0" applyNumberFormat="1" applyFont="1" applyFill="1" applyBorder="1" applyAlignment="1" applyProtection="1">
      <alignment horizontal="right" vertical="center"/>
      <protection/>
    </xf>
    <xf numFmtId="0" fontId="9" fillId="33" borderId="33" xfId="0" applyNumberFormat="1" applyFont="1" applyFill="1" applyBorder="1" applyAlignment="1" applyProtection="1">
      <alignment horizontal="right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55" xfId="0" applyNumberFormat="1" applyFont="1" applyFill="1" applyBorder="1" applyAlignment="1" applyProtection="1">
      <alignment horizontal="left" vertical="center"/>
      <protection/>
    </xf>
    <xf numFmtId="0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56" xfId="0" applyNumberFormat="1" applyFont="1" applyFill="1" applyBorder="1" applyAlignment="1" applyProtection="1">
      <alignment horizontal="left" vertical="center"/>
      <protection/>
    </xf>
    <xf numFmtId="49" fontId="14" fillId="35" borderId="57" xfId="0" applyNumberFormat="1" applyFont="1" applyFill="1" applyBorder="1" applyAlignment="1" applyProtection="1">
      <alignment horizontal="left" vertical="center"/>
      <protection/>
    </xf>
    <xf numFmtId="0" fontId="14" fillId="35" borderId="58" xfId="0" applyNumberFormat="1" applyFont="1" applyFill="1" applyBorder="1" applyAlignment="1" applyProtection="1">
      <alignment horizontal="left" vertical="center"/>
      <protection/>
    </xf>
    <xf numFmtId="49" fontId="15" fillId="0" borderId="31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57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49" fontId="15" fillId="0" borderId="57" xfId="0" applyNumberFormat="1" applyFont="1" applyFill="1" applyBorder="1" applyAlignment="1" applyProtection="1">
      <alignment horizontal="left"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58" xfId="0" applyNumberFormat="1" applyFont="1" applyFill="1" applyBorder="1" applyAlignment="1" applyProtection="1">
      <alignment horizontal="center" vertical="center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49" fontId="16" fillId="0" borderId="57" xfId="0" applyNumberFormat="1" applyFont="1" applyFill="1" applyBorder="1" applyAlignment="1" applyProtection="1">
      <alignment horizontal="left" vertical="center"/>
      <protection/>
    </xf>
    <xf numFmtId="0" fontId="16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G15" sqref="G1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5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1" width="6.00390625" style="0" customWidth="1"/>
    <col min="12" max="14" width="11.7109375" style="0" customWidth="1"/>
    <col min="15" max="24" width="11.57421875" style="0" customWidth="1"/>
    <col min="25" max="62" width="12.140625" style="0" hidden="1" customWidth="1"/>
  </cols>
  <sheetData>
    <row r="1" spans="1:14" ht="72.75" customHeight="1">
      <c r="A1" s="119" t="s">
        <v>811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12.75">
      <c r="A2" s="121" t="s">
        <v>0</v>
      </c>
      <c r="B2" s="122"/>
      <c r="C2" s="122"/>
      <c r="D2" s="123" t="s">
        <v>342</v>
      </c>
      <c r="E2" s="125" t="s">
        <v>521</v>
      </c>
      <c r="F2" s="122"/>
      <c r="G2" s="125" t="s">
        <v>5</v>
      </c>
      <c r="H2" s="126" t="s">
        <v>542</v>
      </c>
      <c r="I2" s="126" t="s">
        <v>549</v>
      </c>
      <c r="J2" s="122"/>
      <c r="K2" s="122"/>
      <c r="L2" s="122"/>
      <c r="M2" s="122"/>
      <c r="N2" s="127"/>
      <c r="O2" s="31"/>
    </row>
    <row r="3" spans="1:15" ht="12.75">
      <c r="A3" s="118"/>
      <c r="B3" s="111"/>
      <c r="C3" s="111"/>
      <c r="D3" s="124"/>
      <c r="E3" s="111"/>
      <c r="F3" s="111"/>
      <c r="G3" s="111"/>
      <c r="H3" s="111"/>
      <c r="I3" s="111"/>
      <c r="J3" s="111"/>
      <c r="K3" s="111"/>
      <c r="L3" s="111"/>
      <c r="M3" s="111"/>
      <c r="N3" s="116"/>
      <c r="O3" s="31"/>
    </row>
    <row r="4" spans="1:15" ht="12.75">
      <c r="A4" s="112" t="s">
        <v>1</v>
      </c>
      <c r="B4" s="111"/>
      <c r="C4" s="111"/>
      <c r="D4" s="110" t="s">
        <v>5</v>
      </c>
      <c r="E4" s="115" t="s">
        <v>522</v>
      </c>
      <c r="F4" s="111"/>
      <c r="G4" s="115" t="s">
        <v>5</v>
      </c>
      <c r="H4" s="110" t="s">
        <v>543</v>
      </c>
      <c r="I4" s="110" t="s">
        <v>550</v>
      </c>
      <c r="J4" s="111"/>
      <c r="K4" s="111"/>
      <c r="L4" s="111"/>
      <c r="M4" s="111"/>
      <c r="N4" s="116"/>
      <c r="O4" s="31"/>
    </row>
    <row r="5" spans="1:15" ht="12.75">
      <c r="A5" s="118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6"/>
      <c r="O5" s="31"/>
    </row>
    <row r="6" spans="1:15" ht="12.75">
      <c r="A6" s="112" t="s">
        <v>2</v>
      </c>
      <c r="B6" s="111"/>
      <c r="C6" s="111"/>
      <c r="D6" s="110" t="s">
        <v>343</v>
      </c>
      <c r="E6" s="115" t="s">
        <v>523</v>
      </c>
      <c r="F6" s="111"/>
      <c r="G6" s="115" t="s">
        <v>5</v>
      </c>
      <c r="H6" s="110" t="s">
        <v>544</v>
      </c>
      <c r="I6" s="115" t="s">
        <v>551</v>
      </c>
      <c r="J6" s="111"/>
      <c r="K6" s="111"/>
      <c r="L6" s="111"/>
      <c r="M6" s="111"/>
      <c r="N6" s="116"/>
      <c r="O6" s="31"/>
    </row>
    <row r="7" spans="1:15" ht="12.75">
      <c r="A7" s="118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6"/>
      <c r="O7" s="31"/>
    </row>
    <row r="8" spans="1:15" ht="12.75">
      <c r="A8" s="112" t="s">
        <v>3</v>
      </c>
      <c r="B8" s="111"/>
      <c r="C8" s="111"/>
      <c r="D8" s="110" t="s">
        <v>5</v>
      </c>
      <c r="E8" s="115" t="s">
        <v>524</v>
      </c>
      <c r="F8" s="111"/>
      <c r="G8" s="115" t="s">
        <v>539</v>
      </c>
      <c r="H8" s="110" t="s">
        <v>545</v>
      </c>
      <c r="I8" s="115" t="s">
        <v>551</v>
      </c>
      <c r="J8" s="111"/>
      <c r="K8" s="111"/>
      <c r="L8" s="111"/>
      <c r="M8" s="111"/>
      <c r="N8" s="116"/>
      <c r="O8" s="31"/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7"/>
      <c r="O9" s="31"/>
    </row>
    <row r="10" spans="1:15" ht="12.75">
      <c r="A10" s="1" t="s">
        <v>4</v>
      </c>
      <c r="B10" s="9" t="s">
        <v>197</v>
      </c>
      <c r="C10" s="9" t="s">
        <v>201</v>
      </c>
      <c r="D10" s="9" t="s">
        <v>344</v>
      </c>
      <c r="E10" s="9" t="s">
        <v>525</v>
      </c>
      <c r="F10" s="16" t="s">
        <v>538</v>
      </c>
      <c r="G10" s="19" t="s">
        <v>540</v>
      </c>
      <c r="H10" s="104" t="s">
        <v>546</v>
      </c>
      <c r="I10" s="105"/>
      <c r="J10" s="106"/>
      <c r="K10" s="19" t="s">
        <v>554</v>
      </c>
      <c r="L10" s="104" t="s">
        <v>555</v>
      </c>
      <c r="M10" s="107"/>
      <c r="N10" s="27" t="s">
        <v>557</v>
      </c>
      <c r="O10" s="32"/>
    </row>
    <row r="11" spans="1:62" ht="12.75">
      <c r="A11" s="2" t="s">
        <v>5</v>
      </c>
      <c r="B11" s="10" t="s">
        <v>5</v>
      </c>
      <c r="C11" s="10" t="s">
        <v>5</v>
      </c>
      <c r="D11" s="14" t="s">
        <v>345</v>
      </c>
      <c r="E11" s="10" t="s">
        <v>5</v>
      </c>
      <c r="F11" s="10" t="s">
        <v>5</v>
      </c>
      <c r="G11" s="20" t="s">
        <v>541</v>
      </c>
      <c r="H11" s="21" t="s">
        <v>547</v>
      </c>
      <c r="I11" s="22" t="s">
        <v>552</v>
      </c>
      <c r="J11" s="22" t="s">
        <v>553</v>
      </c>
      <c r="K11" s="23" t="s">
        <v>5</v>
      </c>
      <c r="L11" s="21" t="s">
        <v>556</v>
      </c>
      <c r="M11" s="26" t="s">
        <v>553</v>
      </c>
      <c r="N11" s="28" t="s">
        <v>558</v>
      </c>
      <c r="O11" s="32"/>
      <c r="Z11" s="25" t="s">
        <v>561</v>
      </c>
      <c r="AA11" s="25" t="s">
        <v>562</v>
      </c>
      <c r="AB11" s="25" t="s">
        <v>563</v>
      </c>
      <c r="AC11" s="25" t="s">
        <v>564</v>
      </c>
      <c r="AD11" s="25" t="s">
        <v>565</v>
      </c>
      <c r="AE11" s="25" t="s">
        <v>566</v>
      </c>
      <c r="AF11" s="25" t="s">
        <v>567</v>
      </c>
      <c r="AG11" s="25" t="s">
        <v>568</v>
      </c>
      <c r="AH11" s="25" t="s">
        <v>569</v>
      </c>
      <c r="BH11" s="25" t="s">
        <v>604</v>
      </c>
      <c r="BI11" s="25" t="s">
        <v>605</v>
      </c>
      <c r="BJ11" s="25" t="s">
        <v>606</v>
      </c>
    </row>
    <row r="12" spans="1:14" ht="12.75">
      <c r="A12" s="3"/>
      <c r="B12" s="11" t="s">
        <v>198</v>
      </c>
      <c r="C12" s="11"/>
      <c r="D12" s="11" t="s">
        <v>346</v>
      </c>
      <c r="E12" s="3" t="s">
        <v>5</v>
      </c>
      <c r="F12" s="3" t="s">
        <v>5</v>
      </c>
      <c r="G12" s="3" t="s">
        <v>5</v>
      </c>
      <c r="H12" s="35">
        <f>H13+H18+H21+H53+H93+H111+H113</f>
        <v>0</v>
      </c>
      <c r="I12" s="35">
        <f>I13+I18+I21+I53+I93+I111+I113</f>
        <v>0</v>
      </c>
      <c r="J12" s="35">
        <f>J13+J18+J21+J53+J93+J111+J113</f>
        <v>0</v>
      </c>
      <c r="K12" s="38">
        <f>IF(J250=0,0,J12/J250)</f>
        <v>0</v>
      </c>
      <c r="L12" s="24"/>
      <c r="M12" s="35">
        <f>M13+M18+M21+M53+M93+M111+M113</f>
        <v>2243.61854252</v>
      </c>
      <c r="N12" s="24"/>
    </row>
    <row r="13" spans="1:47" ht="12.75">
      <c r="A13" s="4"/>
      <c r="B13" s="12" t="s">
        <v>198</v>
      </c>
      <c r="C13" s="12" t="s">
        <v>6</v>
      </c>
      <c r="D13" s="12" t="s">
        <v>347</v>
      </c>
      <c r="E13" s="4" t="s">
        <v>5</v>
      </c>
      <c r="F13" s="4" t="s">
        <v>5</v>
      </c>
      <c r="G13" s="4" t="s">
        <v>5</v>
      </c>
      <c r="H13" s="36">
        <f>SUM(H14:H17)</f>
        <v>0</v>
      </c>
      <c r="I13" s="36">
        <f>SUM(I14:I17)</f>
        <v>0</v>
      </c>
      <c r="J13" s="36">
        <f>SUM(J14:J17)</f>
        <v>0</v>
      </c>
      <c r="K13" s="39">
        <f>IF(J250=0,0,J13/J250)</f>
        <v>0</v>
      </c>
      <c r="L13" s="25"/>
      <c r="M13" s="36">
        <f>SUM(M14:M17)</f>
        <v>0</v>
      </c>
      <c r="N13" s="25"/>
      <c r="AI13" s="25" t="s">
        <v>198</v>
      </c>
      <c r="AS13" s="36">
        <f>SUM(AJ14:AJ17)</f>
        <v>0</v>
      </c>
      <c r="AT13" s="36">
        <f>SUM(AK14:AK17)</f>
        <v>0</v>
      </c>
      <c r="AU13" s="36">
        <f>SUM(AL14:AL17)</f>
        <v>0</v>
      </c>
    </row>
    <row r="14" spans="1:62" ht="12.75">
      <c r="A14" s="82" t="s">
        <v>6</v>
      </c>
      <c r="B14" s="82" t="s">
        <v>198</v>
      </c>
      <c r="C14" s="82" t="s">
        <v>202</v>
      </c>
      <c r="D14" s="82" t="s">
        <v>348</v>
      </c>
      <c r="E14" s="82" t="s">
        <v>526</v>
      </c>
      <c r="F14" s="83">
        <v>355.1</v>
      </c>
      <c r="G14" s="83"/>
      <c r="H14" s="83">
        <f>F14*AO14</f>
        <v>0</v>
      </c>
      <c r="I14" s="83">
        <f>F14*AP14</f>
        <v>0</v>
      </c>
      <c r="J14" s="83">
        <f>F14*G14</f>
        <v>0</v>
      </c>
      <c r="K14" s="84">
        <f>IF(J250=0,0,J14/J250)</f>
        <v>0</v>
      </c>
      <c r="L14" s="83">
        <v>0</v>
      </c>
      <c r="M14" s="83">
        <f>F14*L14</f>
        <v>0</v>
      </c>
      <c r="N14" s="8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25" t="s">
        <v>198</v>
      </c>
      <c r="AJ14" s="17">
        <f>IF(AN14=0,J14,0)</f>
        <v>0</v>
      </c>
      <c r="AK14" s="17">
        <f>IF(AN14=15,J14,0)</f>
        <v>0</v>
      </c>
      <c r="AL14" s="17">
        <f>IF(AN14=21,J14,0)</f>
        <v>0</v>
      </c>
      <c r="AN14" s="33">
        <v>21</v>
      </c>
      <c r="AO14" s="33">
        <f>G14*1</f>
        <v>0</v>
      </c>
      <c r="AP14" s="33">
        <f>G14*(1-1)</f>
        <v>0</v>
      </c>
      <c r="AQ14" s="29" t="s">
        <v>6</v>
      </c>
      <c r="AV14" s="33">
        <f>AW14+AX14</f>
        <v>0</v>
      </c>
      <c r="AW14" s="33">
        <f>F14*AO14</f>
        <v>0</v>
      </c>
      <c r="AX14" s="33">
        <f>F14*AP14</f>
        <v>0</v>
      </c>
      <c r="AY14" s="34" t="s">
        <v>571</v>
      </c>
      <c r="AZ14" s="34" t="s">
        <v>585</v>
      </c>
      <c r="BA14" s="25" t="s">
        <v>601</v>
      </c>
      <c r="BC14" s="33">
        <f>AW14+AX14</f>
        <v>0</v>
      </c>
      <c r="BD14" s="33">
        <f>G14/(100-BE14)*100</f>
        <v>0</v>
      </c>
      <c r="BE14" s="33">
        <v>0</v>
      </c>
      <c r="BF14" s="33">
        <f>M14</f>
        <v>0</v>
      </c>
      <c r="BH14" s="17">
        <f>F14*AO14</f>
        <v>0</v>
      </c>
      <c r="BI14" s="17">
        <f>F14*AP14</f>
        <v>0</v>
      </c>
      <c r="BJ14" s="17">
        <f>F14*G14</f>
        <v>0</v>
      </c>
    </row>
    <row r="15" spans="1:62" ht="12.75">
      <c r="A15" s="82" t="s">
        <v>7</v>
      </c>
      <c r="B15" s="82" t="s">
        <v>198</v>
      </c>
      <c r="C15" s="82" t="s">
        <v>203</v>
      </c>
      <c r="D15" s="82" t="s">
        <v>349</v>
      </c>
      <c r="E15" s="82" t="s">
        <v>526</v>
      </c>
      <c r="F15" s="83">
        <v>355.1</v>
      </c>
      <c r="G15" s="83"/>
      <c r="H15" s="83">
        <f>F15*AO15</f>
        <v>0</v>
      </c>
      <c r="I15" s="83">
        <f>F15*AP15</f>
        <v>0</v>
      </c>
      <c r="J15" s="83">
        <f>F15*G15</f>
        <v>0</v>
      </c>
      <c r="K15" s="84">
        <f>IF(J250=0,0,J15/J250)</f>
        <v>0</v>
      </c>
      <c r="L15" s="83">
        <v>0</v>
      </c>
      <c r="M15" s="83">
        <f>F15*L15</f>
        <v>0</v>
      </c>
      <c r="N15" s="8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25" t="s">
        <v>198</v>
      </c>
      <c r="AJ15" s="17">
        <f>IF(AN15=0,J15,0)</f>
        <v>0</v>
      </c>
      <c r="AK15" s="17">
        <f>IF(AN15=15,J15,0)</f>
        <v>0</v>
      </c>
      <c r="AL15" s="17">
        <f>IF(AN15=21,J15,0)</f>
        <v>0</v>
      </c>
      <c r="AN15" s="33">
        <v>21</v>
      </c>
      <c r="AO15" s="33">
        <f>G15*1</f>
        <v>0</v>
      </c>
      <c r="AP15" s="33">
        <f>G15*(1-1)</f>
        <v>0</v>
      </c>
      <c r="AQ15" s="29" t="s">
        <v>6</v>
      </c>
      <c r="AV15" s="33">
        <f>AW15+AX15</f>
        <v>0</v>
      </c>
      <c r="AW15" s="33">
        <f>F15*AO15</f>
        <v>0</v>
      </c>
      <c r="AX15" s="33">
        <f>F15*AP15</f>
        <v>0</v>
      </c>
      <c r="AY15" s="34" t="s">
        <v>571</v>
      </c>
      <c r="AZ15" s="34" t="s">
        <v>585</v>
      </c>
      <c r="BA15" s="25" t="s">
        <v>601</v>
      </c>
      <c r="BC15" s="33">
        <f>AW15+AX15</f>
        <v>0</v>
      </c>
      <c r="BD15" s="33">
        <f>G15/(100-BE15)*100</f>
        <v>0</v>
      </c>
      <c r="BE15" s="33">
        <v>0</v>
      </c>
      <c r="BF15" s="33">
        <f>M15</f>
        <v>0</v>
      </c>
      <c r="BH15" s="17">
        <f>F15*AO15</f>
        <v>0</v>
      </c>
      <c r="BI15" s="17">
        <f>F15*AP15</f>
        <v>0</v>
      </c>
      <c r="BJ15" s="17">
        <f>F15*G15</f>
        <v>0</v>
      </c>
    </row>
    <row r="16" spans="1:62" ht="12.75">
      <c r="A16" s="86" t="s">
        <v>8</v>
      </c>
      <c r="B16" s="86" t="s">
        <v>198</v>
      </c>
      <c r="C16" s="86" t="s">
        <v>204</v>
      </c>
      <c r="D16" s="86" t="s">
        <v>350</v>
      </c>
      <c r="E16" s="86" t="s">
        <v>527</v>
      </c>
      <c r="F16" s="87">
        <v>4.5</v>
      </c>
      <c r="G16" s="87"/>
      <c r="H16" s="87">
        <f>F16*AO16</f>
        <v>0</v>
      </c>
      <c r="I16" s="87">
        <f>F16*AP16</f>
        <v>0</v>
      </c>
      <c r="J16" s="87">
        <f>F16*G16</f>
        <v>0</v>
      </c>
      <c r="K16" s="88">
        <f>IF(J250=0,0,J16/J250)</f>
        <v>0</v>
      </c>
      <c r="L16" s="87">
        <v>0</v>
      </c>
      <c r="M16" s="87">
        <f>F16*L16</f>
        <v>0</v>
      </c>
      <c r="N16" s="89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5" t="s">
        <v>198</v>
      </c>
      <c r="AJ16" s="18">
        <f>IF(AN16=0,J16,0)</f>
        <v>0</v>
      </c>
      <c r="AK16" s="18">
        <f>IF(AN16=15,J16,0)</f>
        <v>0</v>
      </c>
      <c r="AL16" s="18">
        <f>IF(AN16=21,J16,0)</f>
        <v>0</v>
      </c>
      <c r="AN16" s="33">
        <v>21</v>
      </c>
      <c r="AO16" s="33">
        <f>G16*0</f>
        <v>0</v>
      </c>
      <c r="AP16" s="33">
        <f>G16*(1-0)</f>
        <v>0</v>
      </c>
      <c r="AQ16" s="30" t="s">
        <v>6</v>
      </c>
      <c r="AV16" s="33">
        <f>AW16+AX16</f>
        <v>0</v>
      </c>
      <c r="AW16" s="33">
        <f>F16*AO16</f>
        <v>0</v>
      </c>
      <c r="AX16" s="33">
        <f>F16*AP16</f>
        <v>0</v>
      </c>
      <c r="AY16" s="34" t="s">
        <v>571</v>
      </c>
      <c r="AZ16" s="34" t="s">
        <v>585</v>
      </c>
      <c r="BA16" s="25" t="s">
        <v>601</v>
      </c>
      <c r="BC16" s="33">
        <f>AW16+AX16</f>
        <v>0</v>
      </c>
      <c r="BD16" s="33">
        <f>G16/(100-BE16)*100</f>
        <v>0</v>
      </c>
      <c r="BE16" s="33">
        <v>0</v>
      </c>
      <c r="BF16" s="33">
        <f>M16</f>
        <v>0</v>
      </c>
      <c r="BH16" s="18">
        <f>F16*AO16</f>
        <v>0</v>
      </c>
      <c r="BI16" s="18">
        <f>F16*AP16</f>
        <v>0</v>
      </c>
      <c r="BJ16" s="18">
        <f>F16*G16</f>
        <v>0</v>
      </c>
    </row>
    <row r="17" spans="1:62" ht="12.75">
      <c r="A17" s="86" t="s">
        <v>9</v>
      </c>
      <c r="B17" s="86" t="s">
        <v>198</v>
      </c>
      <c r="C17" s="86" t="s">
        <v>205</v>
      </c>
      <c r="D17" s="86" t="s">
        <v>351</v>
      </c>
      <c r="E17" s="86" t="s">
        <v>527</v>
      </c>
      <c r="F17" s="87">
        <v>1</v>
      </c>
      <c r="G17" s="87"/>
      <c r="H17" s="87">
        <f>F17*AO17</f>
        <v>0</v>
      </c>
      <c r="I17" s="87">
        <f>F17*AP17</f>
        <v>0</v>
      </c>
      <c r="J17" s="87">
        <f>F17*G17</f>
        <v>0</v>
      </c>
      <c r="K17" s="88">
        <f>IF(J250=0,0,J17/J250)</f>
        <v>0</v>
      </c>
      <c r="L17" s="87">
        <v>0</v>
      </c>
      <c r="M17" s="87">
        <f>F17*L17</f>
        <v>0</v>
      </c>
      <c r="N17" s="89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25" t="s">
        <v>198</v>
      </c>
      <c r="AJ17" s="18">
        <f>IF(AN17=0,J17,0)</f>
        <v>0</v>
      </c>
      <c r="AK17" s="18">
        <f>IF(AN17=15,J17,0)</f>
        <v>0</v>
      </c>
      <c r="AL17" s="18">
        <f>IF(AN17=21,J17,0)</f>
        <v>0</v>
      </c>
      <c r="AN17" s="33">
        <v>21</v>
      </c>
      <c r="AO17" s="33">
        <f>G17*0</f>
        <v>0</v>
      </c>
      <c r="AP17" s="33">
        <f>G17*(1-0)</f>
        <v>0</v>
      </c>
      <c r="AQ17" s="30" t="s">
        <v>6</v>
      </c>
      <c r="AV17" s="33">
        <f>AW17+AX17</f>
        <v>0</v>
      </c>
      <c r="AW17" s="33">
        <f>F17*AO17</f>
        <v>0</v>
      </c>
      <c r="AX17" s="33">
        <f>F17*AP17</f>
        <v>0</v>
      </c>
      <c r="AY17" s="34" t="s">
        <v>571</v>
      </c>
      <c r="AZ17" s="34" t="s">
        <v>585</v>
      </c>
      <c r="BA17" s="25" t="s">
        <v>601</v>
      </c>
      <c r="BC17" s="33">
        <f>AW17+AX17</f>
        <v>0</v>
      </c>
      <c r="BD17" s="33">
        <f>G17/(100-BE17)*100</f>
        <v>0</v>
      </c>
      <c r="BE17" s="33">
        <v>0</v>
      </c>
      <c r="BF17" s="33">
        <f>M17</f>
        <v>0</v>
      </c>
      <c r="BH17" s="18">
        <f>F17*AO17</f>
        <v>0</v>
      </c>
      <c r="BI17" s="18">
        <f>F17*AP17</f>
        <v>0</v>
      </c>
      <c r="BJ17" s="18">
        <f>F17*G17</f>
        <v>0</v>
      </c>
    </row>
    <row r="18" spans="1:47" ht="12.75">
      <c r="A18" s="90"/>
      <c r="B18" s="91" t="s">
        <v>198</v>
      </c>
      <c r="C18" s="91" t="s">
        <v>7</v>
      </c>
      <c r="D18" s="91" t="s">
        <v>352</v>
      </c>
      <c r="E18" s="90" t="s">
        <v>5</v>
      </c>
      <c r="F18" s="90" t="s">
        <v>5</v>
      </c>
      <c r="G18" s="90"/>
      <c r="H18" s="92">
        <f>SUM(H19:H20)</f>
        <v>0</v>
      </c>
      <c r="I18" s="92">
        <f>SUM(I19:I20)</f>
        <v>0</v>
      </c>
      <c r="J18" s="92">
        <f>SUM(J19:J20)</f>
        <v>0</v>
      </c>
      <c r="K18" s="93">
        <f>IF(J250=0,0,J18/J250)</f>
        <v>0</v>
      </c>
      <c r="L18" s="94"/>
      <c r="M18" s="92">
        <f>SUM(M19:M20)</f>
        <v>0.38356</v>
      </c>
      <c r="N18" s="94"/>
      <c r="AI18" s="25" t="s">
        <v>198</v>
      </c>
      <c r="AS18" s="36">
        <f>SUM(AJ19:AJ20)</f>
        <v>0</v>
      </c>
      <c r="AT18" s="36">
        <f>SUM(AK19:AK20)</f>
        <v>0</v>
      </c>
      <c r="AU18" s="36">
        <f>SUM(AL19:AL20)</f>
        <v>0</v>
      </c>
    </row>
    <row r="19" spans="1:62" ht="12.75">
      <c r="A19" s="86" t="s">
        <v>10</v>
      </c>
      <c r="B19" s="86" t="s">
        <v>198</v>
      </c>
      <c r="C19" s="86" t="s">
        <v>206</v>
      </c>
      <c r="D19" s="86" t="s">
        <v>353</v>
      </c>
      <c r="E19" s="86" t="s">
        <v>528</v>
      </c>
      <c r="F19" s="87">
        <v>446</v>
      </c>
      <c r="G19" s="87"/>
      <c r="H19" s="87">
        <f>F19*AO19</f>
        <v>0</v>
      </c>
      <c r="I19" s="87">
        <f>F19*AP19</f>
        <v>0</v>
      </c>
      <c r="J19" s="87">
        <f>F19*G19</f>
        <v>0</v>
      </c>
      <c r="K19" s="88">
        <f>IF(J250=0,0,J19/J250)</f>
        <v>0</v>
      </c>
      <c r="L19" s="87">
        <v>0.00086</v>
      </c>
      <c r="M19" s="87">
        <f>F19*L19</f>
        <v>0.38356</v>
      </c>
      <c r="N19" s="89" t="s">
        <v>559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25" t="s">
        <v>198</v>
      </c>
      <c r="AJ19" s="18">
        <f>IF(AN19=0,J19,0)</f>
        <v>0</v>
      </c>
      <c r="AK19" s="18">
        <f>IF(AN19=15,J19,0)</f>
        <v>0</v>
      </c>
      <c r="AL19" s="18">
        <f>IF(AN19=21,J19,0)</f>
        <v>0</v>
      </c>
      <c r="AN19" s="33">
        <v>21</v>
      </c>
      <c r="AO19" s="33">
        <f>G19*0.0729661016949153</f>
        <v>0</v>
      </c>
      <c r="AP19" s="33">
        <f>G19*(1-0.0729661016949153)</f>
        <v>0</v>
      </c>
      <c r="AQ19" s="30" t="s">
        <v>6</v>
      </c>
      <c r="AV19" s="33">
        <f>AW19+AX19</f>
        <v>0</v>
      </c>
      <c r="AW19" s="33">
        <f>F19*AO19</f>
        <v>0</v>
      </c>
      <c r="AX19" s="33">
        <f>F19*AP19</f>
        <v>0</v>
      </c>
      <c r="AY19" s="34" t="s">
        <v>572</v>
      </c>
      <c r="AZ19" s="34" t="s">
        <v>586</v>
      </c>
      <c r="BA19" s="25" t="s">
        <v>601</v>
      </c>
      <c r="BC19" s="33">
        <f>AW19+AX19</f>
        <v>0</v>
      </c>
      <c r="BD19" s="33">
        <f>G19/(100-BE19)*100</f>
        <v>0</v>
      </c>
      <c r="BE19" s="33">
        <v>0</v>
      </c>
      <c r="BF19" s="33">
        <f>M19</f>
        <v>0.38356</v>
      </c>
      <c r="BH19" s="18">
        <f>F19*AO19</f>
        <v>0</v>
      </c>
      <c r="BI19" s="18">
        <f>F19*AP19</f>
        <v>0</v>
      </c>
      <c r="BJ19" s="18">
        <f>F19*G19</f>
        <v>0</v>
      </c>
    </row>
    <row r="20" spans="1:62" ht="12.75">
      <c r="A20" s="86" t="s">
        <v>11</v>
      </c>
      <c r="B20" s="86" t="s">
        <v>198</v>
      </c>
      <c r="C20" s="86" t="s">
        <v>207</v>
      </c>
      <c r="D20" s="86" t="s">
        <v>354</v>
      </c>
      <c r="E20" s="86" t="s">
        <v>528</v>
      </c>
      <c r="F20" s="87">
        <v>446</v>
      </c>
      <c r="G20" s="87"/>
      <c r="H20" s="87">
        <f>F20*AO20</f>
        <v>0</v>
      </c>
      <c r="I20" s="87">
        <f>F20*AP20</f>
        <v>0</v>
      </c>
      <c r="J20" s="87">
        <f>F20*G20</f>
        <v>0</v>
      </c>
      <c r="K20" s="88">
        <f>IF(J250=0,0,J20/J250)</f>
        <v>0</v>
      </c>
      <c r="L20" s="87">
        <v>0</v>
      </c>
      <c r="M20" s="87">
        <f>F20*L20</f>
        <v>0</v>
      </c>
      <c r="N20" s="89" t="s">
        <v>559</v>
      </c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25" t="s">
        <v>198</v>
      </c>
      <c r="AJ20" s="18">
        <f>IF(AN20=0,J20,0)</f>
        <v>0</v>
      </c>
      <c r="AK20" s="18">
        <f>IF(AN20=15,J20,0)</f>
        <v>0</v>
      </c>
      <c r="AL20" s="18">
        <f>IF(AN20=21,J20,0)</f>
        <v>0</v>
      </c>
      <c r="AN20" s="33">
        <v>21</v>
      </c>
      <c r="AO20" s="33">
        <f>G20*0</f>
        <v>0</v>
      </c>
      <c r="AP20" s="33">
        <f>G20*(1-0)</f>
        <v>0</v>
      </c>
      <c r="AQ20" s="30" t="s">
        <v>6</v>
      </c>
      <c r="AV20" s="33">
        <f>AW20+AX20</f>
        <v>0</v>
      </c>
      <c r="AW20" s="33">
        <f>F20*AO20</f>
        <v>0</v>
      </c>
      <c r="AX20" s="33">
        <f>F20*AP20</f>
        <v>0</v>
      </c>
      <c r="AY20" s="34" t="s">
        <v>572</v>
      </c>
      <c r="AZ20" s="34" t="s">
        <v>586</v>
      </c>
      <c r="BA20" s="25" t="s">
        <v>601</v>
      </c>
      <c r="BC20" s="33">
        <f>AW20+AX20</f>
        <v>0</v>
      </c>
      <c r="BD20" s="33">
        <f>G20/(100-BE20)*100</f>
        <v>0</v>
      </c>
      <c r="BE20" s="33">
        <v>0</v>
      </c>
      <c r="BF20" s="33">
        <f>M20</f>
        <v>0</v>
      </c>
      <c r="BH20" s="18">
        <f>F20*AO20</f>
        <v>0</v>
      </c>
      <c r="BI20" s="18">
        <f>F20*AP20</f>
        <v>0</v>
      </c>
      <c r="BJ20" s="18">
        <f>F20*G20</f>
        <v>0</v>
      </c>
    </row>
    <row r="21" spans="1:47" ht="12.75">
      <c r="A21" s="90"/>
      <c r="B21" s="91" t="s">
        <v>198</v>
      </c>
      <c r="C21" s="91" t="s">
        <v>92</v>
      </c>
      <c r="D21" s="91" t="s">
        <v>355</v>
      </c>
      <c r="E21" s="90" t="s">
        <v>5</v>
      </c>
      <c r="F21" s="90" t="s">
        <v>5</v>
      </c>
      <c r="G21" s="90"/>
      <c r="H21" s="92">
        <f>SUM(H22:H52)</f>
        <v>0</v>
      </c>
      <c r="I21" s="92">
        <f>SUM(I22:I52)</f>
        <v>0</v>
      </c>
      <c r="J21" s="92">
        <f>SUM(J22:J52)</f>
        <v>0</v>
      </c>
      <c r="K21" s="93">
        <f>IF(J250=0,0,J21/J250)</f>
        <v>0</v>
      </c>
      <c r="L21" s="94"/>
      <c r="M21" s="92">
        <f>SUM(M22:M52)</f>
        <v>1417.10485</v>
      </c>
      <c r="N21" s="94"/>
      <c r="AI21" s="25" t="s">
        <v>198</v>
      </c>
      <c r="AS21" s="36">
        <f>SUM(AJ22:AJ52)</f>
        <v>0</v>
      </c>
      <c r="AT21" s="36">
        <f>SUM(AK22:AK52)</f>
        <v>0</v>
      </c>
      <c r="AU21" s="36">
        <f>SUM(AL22:AL52)</f>
        <v>0</v>
      </c>
    </row>
    <row r="22" spans="1:62" ht="12.75">
      <c r="A22" s="86" t="s">
        <v>12</v>
      </c>
      <c r="B22" s="86" t="s">
        <v>198</v>
      </c>
      <c r="C22" s="86" t="s">
        <v>208</v>
      </c>
      <c r="D22" s="86" t="s">
        <v>356</v>
      </c>
      <c r="E22" s="86" t="s">
        <v>528</v>
      </c>
      <c r="F22" s="87">
        <v>1025</v>
      </c>
      <c r="G22" s="87"/>
      <c r="H22" s="87">
        <f aca="true" t="shared" si="0" ref="H22:H38">F22*AO22</f>
        <v>0</v>
      </c>
      <c r="I22" s="87">
        <f aca="true" t="shared" si="1" ref="I22:I38">F22*AP22</f>
        <v>0</v>
      </c>
      <c r="J22" s="87">
        <f aca="true" t="shared" si="2" ref="J22:J38">F22*G22</f>
        <v>0</v>
      </c>
      <c r="K22" s="88">
        <f>IF(J250=0,0,J22/J250)</f>
        <v>0</v>
      </c>
      <c r="L22" s="87">
        <v>0.22</v>
      </c>
      <c r="M22" s="87">
        <f aca="true" t="shared" si="3" ref="M22:M38">F22*L22</f>
        <v>225.5</v>
      </c>
      <c r="N22" s="89" t="s">
        <v>559</v>
      </c>
      <c r="Z22" s="33">
        <f aca="true" t="shared" si="4" ref="Z22:Z38">IF(AQ22="5",BJ22,0)</f>
        <v>0</v>
      </c>
      <c r="AB22" s="33">
        <f aca="true" t="shared" si="5" ref="AB22:AB38">IF(AQ22="1",BH22,0)</f>
        <v>0</v>
      </c>
      <c r="AC22" s="33">
        <f aca="true" t="shared" si="6" ref="AC22:AC38">IF(AQ22="1",BI22,0)</f>
        <v>0</v>
      </c>
      <c r="AD22" s="33">
        <f aca="true" t="shared" si="7" ref="AD22:AD38">IF(AQ22="7",BH22,0)</f>
        <v>0</v>
      </c>
      <c r="AE22" s="33">
        <f aca="true" t="shared" si="8" ref="AE22:AE38">IF(AQ22="7",BI22,0)</f>
        <v>0</v>
      </c>
      <c r="AF22" s="33">
        <f aca="true" t="shared" si="9" ref="AF22:AF38">IF(AQ22="2",BH22,0)</f>
        <v>0</v>
      </c>
      <c r="AG22" s="33">
        <f aca="true" t="shared" si="10" ref="AG22:AG38">IF(AQ22="2",BI22,0)</f>
        <v>0</v>
      </c>
      <c r="AH22" s="33">
        <f aca="true" t="shared" si="11" ref="AH22:AH38">IF(AQ22="0",BJ22,0)</f>
        <v>0</v>
      </c>
      <c r="AI22" s="25" t="s">
        <v>198</v>
      </c>
      <c r="AJ22" s="18">
        <f aca="true" t="shared" si="12" ref="AJ22:AJ38">IF(AN22=0,J22,0)</f>
        <v>0</v>
      </c>
      <c r="AK22" s="18">
        <f aca="true" t="shared" si="13" ref="AK22:AK38">IF(AN22=15,J22,0)</f>
        <v>0</v>
      </c>
      <c r="AL22" s="18">
        <f aca="true" t="shared" si="14" ref="AL22:AL38">IF(AN22=21,J22,0)</f>
        <v>0</v>
      </c>
      <c r="AN22" s="33">
        <v>21</v>
      </c>
      <c r="AO22" s="33">
        <f aca="true" t="shared" si="15" ref="AO22:AO30">G22*0</f>
        <v>0</v>
      </c>
      <c r="AP22" s="33">
        <f aca="true" t="shared" si="16" ref="AP22:AP30">G22*(1-0)</f>
        <v>0</v>
      </c>
      <c r="AQ22" s="30" t="s">
        <v>6</v>
      </c>
      <c r="AV22" s="33">
        <f aca="true" t="shared" si="17" ref="AV22:AV38">AW22+AX22</f>
        <v>0</v>
      </c>
      <c r="AW22" s="33">
        <f aca="true" t="shared" si="18" ref="AW22:AW38">F22*AO22</f>
        <v>0</v>
      </c>
      <c r="AX22" s="33">
        <f aca="true" t="shared" si="19" ref="AX22:AX38">F22*AP22</f>
        <v>0</v>
      </c>
      <c r="AY22" s="34" t="s">
        <v>573</v>
      </c>
      <c r="AZ22" s="34" t="s">
        <v>587</v>
      </c>
      <c r="BA22" s="25" t="s">
        <v>601</v>
      </c>
      <c r="BC22" s="33">
        <f aca="true" t="shared" si="20" ref="BC22:BC38">AW22+AX22</f>
        <v>0</v>
      </c>
      <c r="BD22" s="33">
        <f aca="true" t="shared" si="21" ref="BD22:BD38">G22/(100-BE22)*100</f>
        <v>0</v>
      </c>
      <c r="BE22" s="33">
        <v>0</v>
      </c>
      <c r="BF22" s="33">
        <f aca="true" t="shared" si="22" ref="BF22:BF38">M22</f>
        <v>225.5</v>
      </c>
      <c r="BH22" s="18">
        <f aca="true" t="shared" si="23" ref="BH22:BH38">F22*AO22</f>
        <v>0</v>
      </c>
      <c r="BI22" s="18">
        <f aca="true" t="shared" si="24" ref="BI22:BI38">F22*AP22</f>
        <v>0</v>
      </c>
      <c r="BJ22" s="18">
        <f aca="true" t="shared" si="25" ref="BJ22:BJ38">F22*G22</f>
        <v>0</v>
      </c>
    </row>
    <row r="23" spans="1:62" ht="12.75">
      <c r="A23" s="86" t="s">
        <v>13</v>
      </c>
      <c r="B23" s="86" t="s">
        <v>198</v>
      </c>
      <c r="C23" s="86" t="s">
        <v>209</v>
      </c>
      <c r="D23" s="86" t="s">
        <v>357</v>
      </c>
      <c r="E23" s="86" t="s">
        <v>528</v>
      </c>
      <c r="F23" s="87">
        <v>1575</v>
      </c>
      <c r="G23" s="87"/>
      <c r="H23" s="87">
        <f t="shared" si="0"/>
        <v>0</v>
      </c>
      <c r="I23" s="87">
        <f t="shared" si="1"/>
        <v>0</v>
      </c>
      <c r="J23" s="87">
        <f t="shared" si="2"/>
        <v>0</v>
      </c>
      <c r="K23" s="88">
        <f>IF(J250=0,0,J23/J250)</f>
        <v>0</v>
      </c>
      <c r="L23" s="87">
        <v>0.66</v>
      </c>
      <c r="M23" s="87">
        <f t="shared" si="3"/>
        <v>1039.5</v>
      </c>
      <c r="N23" s="89" t="s">
        <v>559</v>
      </c>
      <c r="Z23" s="33">
        <f t="shared" si="4"/>
        <v>0</v>
      </c>
      <c r="AB23" s="33">
        <f t="shared" si="5"/>
        <v>0</v>
      </c>
      <c r="AC23" s="33">
        <f t="shared" si="6"/>
        <v>0</v>
      </c>
      <c r="AD23" s="33">
        <f t="shared" si="7"/>
        <v>0</v>
      </c>
      <c r="AE23" s="33">
        <f t="shared" si="8"/>
        <v>0</v>
      </c>
      <c r="AF23" s="33">
        <f t="shared" si="9"/>
        <v>0</v>
      </c>
      <c r="AG23" s="33">
        <f t="shared" si="10"/>
        <v>0</v>
      </c>
      <c r="AH23" s="33">
        <f t="shared" si="11"/>
        <v>0</v>
      </c>
      <c r="AI23" s="25" t="s">
        <v>198</v>
      </c>
      <c r="AJ23" s="18">
        <f t="shared" si="12"/>
        <v>0</v>
      </c>
      <c r="AK23" s="18">
        <f t="shared" si="13"/>
        <v>0</v>
      </c>
      <c r="AL23" s="18">
        <f t="shared" si="14"/>
        <v>0</v>
      </c>
      <c r="AN23" s="33">
        <v>21</v>
      </c>
      <c r="AO23" s="33">
        <f t="shared" si="15"/>
        <v>0</v>
      </c>
      <c r="AP23" s="33">
        <f t="shared" si="16"/>
        <v>0</v>
      </c>
      <c r="AQ23" s="30" t="s">
        <v>6</v>
      </c>
      <c r="AV23" s="33">
        <f t="shared" si="17"/>
        <v>0</v>
      </c>
      <c r="AW23" s="33">
        <f t="shared" si="18"/>
        <v>0</v>
      </c>
      <c r="AX23" s="33">
        <f t="shared" si="19"/>
        <v>0</v>
      </c>
      <c r="AY23" s="34" t="s">
        <v>573</v>
      </c>
      <c r="AZ23" s="34" t="s">
        <v>587</v>
      </c>
      <c r="BA23" s="25" t="s">
        <v>601</v>
      </c>
      <c r="BC23" s="33">
        <f t="shared" si="20"/>
        <v>0</v>
      </c>
      <c r="BD23" s="33">
        <f t="shared" si="21"/>
        <v>0</v>
      </c>
      <c r="BE23" s="33">
        <v>0</v>
      </c>
      <c r="BF23" s="33">
        <f t="shared" si="22"/>
        <v>1039.5</v>
      </c>
      <c r="BH23" s="18">
        <f t="shared" si="23"/>
        <v>0</v>
      </c>
      <c r="BI23" s="18">
        <f t="shared" si="24"/>
        <v>0</v>
      </c>
      <c r="BJ23" s="18">
        <f t="shared" si="25"/>
        <v>0</v>
      </c>
    </row>
    <row r="24" spans="1:62" ht="12.75">
      <c r="A24" s="86" t="s">
        <v>14</v>
      </c>
      <c r="B24" s="86" t="s">
        <v>198</v>
      </c>
      <c r="C24" s="86" t="s">
        <v>210</v>
      </c>
      <c r="D24" s="86" t="s">
        <v>358</v>
      </c>
      <c r="E24" s="86" t="s">
        <v>528</v>
      </c>
      <c r="F24" s="87">
        <v>550</v>
      </c>
      <c r="G24" s="87"/>
      <c r="H24" s="87">
        <f t="shared" si="0"/>
        <v>0</v>
      </c>
      <c r="I24" s="87">
        <f t="shared" si="1"/>
        <v>0</v>
      </c>
      <c r="J24" s="87">
        <f t="shared" si="2"/>
        <v>0</v>
      </c>
      <c r="K24" s="88">
        <f>IF(J250=0,0,J24/J250)</f>
        <v>0</v>
      </c>
      <c r="L24" s="87">
        <v>0.138</v>
      </c>
      <c r="M24" s="87">
        <f t="shared" si="3"/>
        <v>75.9</v>
      </c>
      <c r="N24" s="89" t="s">
        <v>559</v>
      </c>
      <c r="Z24" s="33">
        <f t="shared" si="4"/>
        <v>0</v>
      </c>
      <c r="AB24" s="33">
        <f t="shared" si="5"/>
        <v>0</v>
      </c>
      <c r="AC24" s="33">
        <f t="shared" si="6"/>
        <v>0</v>
      </c>
      <c r="AD24" s="33">
        <f t="shared" si="7"/>
        <v>0</v>
      </c>
      <c r="AE24" s="33">
        <f t="shared" si="8"/>
        <v>0</v>
      </c>
      <c r="AF24" s="33">
        <f t="shared" si="9"/>
        <v>0</v>
      </c>
      <c r="AG24" s="33">
        <f t="shared" si="10"/>
        <v>0</v>
      </c>
      <c r="AH24" s="33">
        <f t="shared" si="11"/>
        <v>0</v>
      </c>
      <c r="AI24" s="25" t="s">
        <v>198</v>
      </c>
      <c r="AJ24" s="18">
        <f t="shared" si="12"/>
        <v>0</v>
      </c>
      <c r="AK24" s="18">
        <f t="shared" si="13"/>
        <v>0</v>
      </c>
      <c r="AL24" s="18">
        <f t="shared" si="14"/>
        <v>0</v>
      </c>
      <c r="AN24" s="33">
        <v>21</v>
      </c>
      <c r="AO24" s="33">
        <f t="shared" si="15"/>
        <v>0</v>
      </c>
      <c r="AP24" s="33">
        <f t="shared" si="16"/>
        <v>0</v>
      </c>
      <c r="AQ24" s="30" t="s">
        <v>6</v>
      </c>
      <c r="AV24" s="33">
        <f t="shared" si="17"/>
        <v>0</v>
      </c>
      <c r="AW24" s="33">
        <f t="shared" si="18"/>
        <v>0</v>
      </c>
      <c r="AX24" s="33">
        <f t="shared" si="19"/>
        <v>0</v>
      </c>
      <c r="AY24" s="34" t="s">
        <v>573</v>
      </c>
      <c r="AZ24" s="34" t="s">
        <v>587</v>
      </c>
      <c r="BA24" s="25" t="s">
        <v>601</v>
      </c>
      <c r="BC24" s="33">
        <f t="shared" si="20"/>
        <v>0</v>
      </c>
      <c r="BD24" s="33">
        <f t="shared" si="21"/>
        <v>0</v>
      </c>
      <c r="BE24" s="33">
        <v>0</v>
      </c>
      <c r="BF24" s="33">
        <f t="shared" si="22"/>
        <v>75.9</v>
      </c>
      <c r="BH24" s="18">
        <f t="shared" si="23"/>
        <v>0</v>
      </c>
      <c r="BI24" s="18">
        <f t="shared" si="24"/>
        <v>0</v>
      </c>
      <c r="BJ24" s="18">
        <f t="shared" si="25"/>
        <v>0</v>
      </c>
    </row>
    <row r="25" spans="1:62" ht="12.75">
      <c r="A25" s="86" t="s">
        <v>15</v>
      </c>
      <c r="B25" s="86" t="s">
        <v>198</v>
      </c>
      <c r="C25" s="86" t="s">
        <v>211</v>
      </c>
      <c r="D25" s="86" t="s">
        <v>359</v>
      </c>
      <c r="E25" s="86" t="s">
        <v>526</v>
      </c>
      <c r="F25" s="87">
        <v>274.5</v>
      </c>
      <c r="G25" s="87"/>
      <c r="H25" s="87">
        <f t="shared" si="0"/>
        <v>0</v>
      </c>
      <c r="I25" s="87">
        <f t="shared" si="1"/>
        <v>0</v>
      </c>
      <c r="J25" s="87">
        <f t="shared" si="2"/>
        <v>0</v>
      </c>
      <c r="K25" s="88">
        <f>IF(J250=0,0,J25/J250)</f>
        <v>0</v>
      </c>
      <c r="L25" s="87">
        <v>0.27</v>
      </c>
      <c r="M25" s="87">
        <f t="shared" si="3"/>
        <v>74.11500000000001</v>
      </c>
      <c r="N25" s="89" t="s">
        <v>559</v>
      </c>
      <c r="Z25" s="33">
        <f t="shared" si="4"/>
        <v>0</v>
      </c>
      <c r="AB25" s="33">
        <f t="shared" si="5"/>
        <v>0</v>
      </c>
      <c r="AC25" s="33">
        <f t="shared" si="6"/>
        <v>0</v>
      </c>
      <c r="AD25" s="33">
        <f t="shared" si="7"/>
        <v>0</v>
      </c>
      <c r="AE25" s="33">
        <f t="shared" si="8"/>
        <v>0</v>
      </c>
      <c r="AF25" s="33">
        <f t="shared" si="9"/>
        <v>0</v>
      </c>
      <c r="AG25" s="33">
        <f t="shared" si="10"/>
        <v>0</v>
      </c>
      <c r="AH25" s="33">
        <f t="shared" si="11"/>
        <v>0</v>
      </c>
      <c r="AI25" s="25" t="s">
        <v>198</v>
      </c>
      <c r="AJ25" s="18">
        <f t="shared" si="12"/>
        <v>0</v>
      </c>
      <c r="AK25" s="18">
        <f t="shared" si="13"/>
        <v>0</v>
      </c>
      <c r="AL25" s="18">
        <f t="shared" si="14"/>
        <v>0</v>
      </c>
      <c r="AN25" s="33">
        <v>21</v>
      </c>
      <c r="AO25" s="33">
        <f t="shared" si="15"/>
        <v>0</v>
      </c>
      <c r="AP25" s="33">
        <f t="shared" si="16"/>
        <v>0</v>
      </c>
      <c r="AQ25" s="30" t="s">
        <v>6</v>
      </c>
      <c r="AV25" s="33">
        <f t="shared" si="17"/>
        <v>0</v>
      </c>
      <c r="AW25" s="33">
        <f t="shared" si="18"/>
        <v>0</v>
      </c>
      <c r="AX25" s="33">
        <f t="shared" si="19"/>
        <v>0</v>
      </c>
      <c r="AY25" s="34" t="s">
        <v>573</v>
      </c>
      <c r="AZ25" s="34" t="s">
        <v>587</v>
      </c>
      <c r="BA25" s="25" t="s">
        <v>601</v>
      </c>
      <c r="BC25" s="33">
        <f t="shared" si="20"/>
        <v>0</v>
      </c>
      <c r="BD25" s="33">
        <f t="shared" si="21"/>
        <v>0</v>
      </c>
      <c r="BE25" s="33">
        <v>0</v>
      </c>
      <c r="BF25" s="33">
        <f t="shared" si="22"/>
        <v>74.11500000000001</v>
      </c>
      <c r="BH25" s="18">
        <f t="shared" si="23"/>
        <v>0</v>
      </c>
      <c r="BI25" s="18">
        <f t="shared" si="24"/>
        <v>0</v>
      </c>
      <c r="BJ25" s="18">
        <f t="shared" si="25"/>
        <v>0</v>
      </c>
    </row>
    <row r="26" spans="1:62" ht="12.75">
      <c r="A26" s="86" t="s">
        <v>16</v>
      </c>
      <c r="B26" s="86" t="s">
        <v>198</v>
      </c>
      <c r="C26" s="86" t="s">
        <v>212</v>
      </c>
      <c r="D26" s="86" t="s">
        <v>360</v>
      </c>
      <c r="E26" s="86" t="s">
        <v>529</v>
      </c>
      <c r="F26" s="87">
        <v>1415.02</v>
      </c>
      <c r="G26" s="87"/>
      <c r="H26" s="87">
        <f t="shared" si="0"/>
        <v>0</v>
      </c>
      <c r="I26" s="87">
        <f t="shared" si="1"/>
        <v>0</v>
      </c>
      <c r="J26" s="87">
        <f t="shared" si="2"/>
        <v>0</v>
      </c>
      <c r="K26" s="88">
        <f>IF(J250=0,0,J26/J250)</f>
        <v>0</v>
      </c>
      <c r="L26" s="87">
        <v>0</v>
      </c>
      <c r="M26" s="87">
        <f t="shared" si="3"/>
        <v>0</v>
      </c>
      <c r="N26" s="89" t="s">
        <v>559</v>
      </c>
      <c r="Z26" s="33">
        <f t="shared" si="4"/>
        <v>0</v>
      </c>
      <c r="AB26" s="33">
        <f t="shared" si="5"/>
        <v>0</v>
      </c>
      <c r="AC26" s="33">
        <f t="shared" si="6"/>
        <v>0</v>
      </c>
      <c r="AD26" s="33">
        <f t="shared" si="7"/>
        <v>0</v>
      </c>
      <c r="AE26" s="33">
        <f t="shared" si="8"/>
        <v>0</v>
      </c>
      <c r="AF26" s="33">
        <f t="shared" si="9"/>
        <v>0</v>
      </c>
      <c r="AG26" s="33">
        <f t="shared" si="10"/>
        <v>0</v>
      </c>
      <c r="AH26" s="33">
        <f t="shared" si="11"/>
        <v>0</v>
      </c>
      <c r="AI26" s="25" t="s">
        <v>198</v>
      </c>
      <c r="AJ26" s="18">
        <f t="shared" si="12"/>
        <v>0</v>
      </c>
      <c r="AK26" s="18">
        <f t="shared" si="13"/>
        <v>0</v>
      </c>
      <c r="AL26" s="18">
        <f t="shared" si="14"/>
        <v>0</v>
      </c>
      <c r="AN26" s="33">
        <v>21</v>
      </c>
      <c r="AO26" s="33">
        <f t="shared" si="15"/>
        <v>0</v>
      </c>
      <c r="AP26" s="33">
        <f t="shared" si="16"/>
        <v>0</v>
      </c>
      <c r="AQ26" s="30" t="s">
        <v>10</v>
      </c>
      <c r="AV26" s="33">
        <f t="shared" si="17"/>
        <v>0</v>
      </c>
      <c r="AW26" s="33">
        <f t="shared" si="18"/>
        <v>0</v>
      </c>
      <c r="AX26" s="33">
        <f t="shared" si="19"/>
        <v>0</v>
      </c>
      <c r="AY26" s="34" t="s">
        <v>573</v>
      </c>
      <c r="AZ26" s="34" t="s">
        <v>587</v>
      </c>
      <c r="BA26" s="25" t="s">
        <v>601</v>
      </c>
      <c r="BC26" s="33">
        <f t="shared" si="20"/>
        <v>0</v>
      </c>
      <c r="BD26" s="33">
        <f t="shared" si="21"/>
        <v>0</v>
      </c>
      <c r="BE26" s="33">
        <v>0</v>
      </c>
      <c r="BF26" s="33">
        <f t="shared" si="22"/>
        <v>0</v>
      </c>
      <c r="BH26" s="18">
        <f t="shared" si="23"/>
        <v>0</v>
      </c>
      <c r="BI26" s="18">
        <f t="shared" si="24"/>
        <v>0</v>
      </c>
      <c r="BJ26" s="18">
        <f t="shared" si="25"/>
        <v>0</v>
      </c>
    </row>
    <row r="27" spans="1:62" ht="12.75">
      <c r="A27" s="86" t="s">
        <v>17</v>
      </c>
      <c r="B27" s="86" t="s">
        <v>198</v>
      </c>
      <c r="C27" s="86" t="s">
        <v>213</v>
      </c>
      <c r="D27" s="86" t="s">
        <v>361</v>
      </c>
      <c r="E27" s="86" t="s">
        <v>529</v>
      </c>
      <c r="F27" s="87">
        <v>1415.02</v>
      </c>
      <c r="G27" s="87"/>
      <c r="H27" s="87">
        <f t="shared" si="0"/>
        <v>0</v>
      </c>
      <c r="I27" s="87">
        <f t="shared" si="1"/>
        <v>0</v>
      </c>
      <c r="J27" s="87">
        <f t="shared" si="2"/>
        <v>0</v>
      </c>
      <c r="K27" s="88">
        <f>IF(J250=0,0,J27/J250)</f>
        <v>0</v>
      </c>
      <c r="L27" s="87">
        <v>0</v>
      </c>
      <c r="M27" s="87">
        <f t="shared" si="3"/>
        <v>0</v>
      </c>
      <c r="N27" s="89" t="s">
        <v>559</v>
      </c>
      <c r="Z27" s="33">
        <f t="shared" si="4"/>
        <v>0</v>
      </c>
      <c r="AB27" s="33">
        <f t="shared" si="5"/>
        <v>0</v>
      </c>
      <c r="AC27" s="33">
        <f t="shared" si="6"/>
        <v>0</v>
      </c>
      <c r="AD27" s="33">
        <f t="shared" si="7"/>
        <v>0</v>
      </c>
      <c r="AE27" s="33">
        <f t="shared" si="8"/>
        <v>0</v>
      </c>
      <c r="AF27" s="33">
        <f t="shared" si="9"/>
        <v>0</v>
      </c>
      <c r="AG27" s="33">
        <f t="shared" si="10"/>
        <v>0</v>
      </c>
      <c r="AH27" s="33">
        <f t="shared" si="11"/>
        <v>0</v>
      </c>
      <c r="AI27" s="25" t="s">
        <v>198</v>
      </c>
      <c r="AJ27" s="18">
        <f t="shared" si="12"/>
        <v>0</v>
      </c>
      <c r="AK27" s="18">
        <f t="shared" si="13"/>
        <v>0</v>
      </c>
      <c r="AL27" s="18">
        <f t="shared" si="14"/>
        <v>0</v>
      </c>
      <c r="AN27" s="33">
        <v>21</v>
      </c>
      <c r="AO27" s="33">
        <f t="shared" si="15"/>
        <v>0</v>
      </c>
      <c r="AP27" s="33">
        <f t="shared" si="16"/>
        <v>0</v>
      </c>
      <c r="AQ27" s="30" t="s">
        <v>10</v>
      </c>
      <c r="AV27" s="33">
        <f t="shared" si="17"/>
        <v>0</v>
      </c>
      <c r="AW27" s="33">
        <f t="shared" si="18"/>
        <v>0</v>
      </c>
      <c r="AX27" s="33">
        <f t="shared" si="19"/>
        <v>0</v>
      </c>
      <c r="AY27" s="34" t="s">
        <v>573</v>
      </c>
      <c r="AZ27" s="34" t="s">
        <v>587</v>
      </c>
      <c r="BA27" s="25" t="s">
        <v>601</v>
      </c>
      <c r="BC27" s="33">
        <f t="shared" si="20"/>
        <v>0</v>
      </c>
      <c r="BD27" s="33">
        <f t="shared" si="21"/>
        <v>0</v>
      </c>
      <c r="BE27" s="33">
        <v>0</v>
      </c>
      <c r="BF27" s="33">
        <f t="shared" si="22"/>
        <v>0</v>
      </c>
      <c r="BH27" s="18">
        <f t="shared" si="23"/>
        <v>0</v>
      </c>
      <c r="BI27" s="18">
        <f t="shared" si="24"/>
        <v>0</v>
      </c>
      <c r="BJ27" s="18">
        <f t="shared" si="25"/>
        <v>0</v>
      </c>
    </row>
    <row r="28" spans="1:62" ht="12.75">
      <c r="A28" s="86" t="s">
        <v>18</v>
      </c>
      <c r="B28" s="86" t="s">
        <v>198</v>
      </c>
      <c r="C28" s="86" t="s">
        <v>214</v>
      </c>
      <c r="D28" s="86" t="s">
        <v>362</v>
      </c>
      <c r="E28" s="86" t="s">
        <v>530</v>
      </c>
      <c r="F28" s="87">
        <v>630</v>
      </c>
      <c r="G28" s="87"/>
      <c r="H28" s="87">
        <f t="shared" si="0"/>
        <v>0</v>
      </c>
      <c r="I28" s="87">
        <f t="shared" si="1"/>
        <v>0</v>
      </c>
      <c r="J28" s="87">
        <f t="shared" si="2"/>
        <v>0</v>
      </c>
      <c r="K28" s="88">
        <f>IF(J250=0,0,J28/J250)</f>
        <v>0</v>
      </c>
      <c r="L28" s="87">
        <v>0</v>
      </c>
      <c r="M28" s="87">
        <f t="shared" si="3"/>
        <v>0</v>
      </c>
      <c r="N28" s="89" t="s">
        <v>559</v>
      </c>
      <c r="Z28" s="33">
        <f t="shared" si="4"/>
        <v>0</v>
      </c>
      <c r="AB28" s="33">
        <f t="shared" si="5"/>
        <v>0</v>
      </c>
      <c r="AC28" s="33">
        <f t="shared" si="6"/>
        <v>0</v>
      </c>
      <c r="AD28" s="33">
        <f t="shared" si="7"/>
        <v>0</v>
      </c>
      <c r="AE28" s="33">
        <f t="shared" si="8"/>
        <v>0</v>
      </c>
      <c r="AF28" s="33">
        <f t="shared" si="9"/>
        <v>0</v>
      </c>
      <c r="AG28" s="33">
        <f t="shared" si="10"/>
        <v>0</v>
      </c>
      <c r="AH28" s="33">
        <f t="shared" si="11"/>
        <v>0</v>
      </c>
      <c r="AI28" s="25" t="s">
        <v>198</v>
      </c>
      <c r="AJ28" s="18">
        <f t="shared" si="12"/>
        <v>0</v>
      </c>
      <c r="AK28" s="18">
        <f t="shared" si="13"/>
        <v>0</v>
      </c>
      <c r="AL28" s="18">
        <f t="shared" si="14"/>
        <v>0</v>
      </c>
      <c r="AN28" s="33">
        <v>21</v>
      </c>
      <c r="AO28" s="33">
        <f t="shared" si="15"/>
        <v>0</v>
      </c>
      <c r="AP28" s="33">
        <f t="shared" si="16"/>
        <v>0</v>
      </c>
      <c r="AQ28" s="30" t="s">
        <v>6</v>
      </c>
      <c r="AV28" s="33">
        <f t="shared" si="17"/>
        <v>0</v>
      </c>
      <c r="AW28" s="33">
        <f t="shared" si="18"/>
        <v>0</v>
      </c>
      <c r="AX28" s="33">
        <f t="shared" si="19"/>
        <v>0</v>
      </c>
      <c r="AY28" s="34" t="s">
        <v>573</v>
      </c>
      <c r="AZ28" s="34" t="s">
        <v>587</v>
      </c>
      <c r="BA28" s="25" t="s">
        <v>601</v>
      </c>
      <c r="BC28" s="33">
        <f t="shared" si="20"/>
        <v>0</v>
      </c>
      <c r="BD28" s="33">
        <f t="shared" si="21"/>
        <v>0</v>
      </c>
      <c r="BE28" s="33">
        <v>0</v>
      </c>
      <c r="BF28" s="33">
        <f t="shared" si="22"/>
        <v>0</v>
      </c>
      <c r="BH28" s="18">
        <f t="shared" si="23"/>
        <v>0</v>
      </c>
      <c r="BI28" s="18">
        <f t="shared" si="24"/>
        <v>0</v>
      </c>
      <c r="BJ28" s="18">
        <f t="shared" si="25"/>
        <v>0</v>
      </c>
    </row>
    <row r="29" spans="1:62" ht="12.75">
      <c r="A29" s="86" t="s">
        <v>19</v>
      </c>
      <c r="B29" s="86" t="s">
        <v>198</v>
      </c>
      <c r="C29" s="86" t="s">
        <v>215</v>
      </c>
      <c r="D29" s="86" t="s">
        <v>363</v>
      </c>
      <c r="E29" s="86" t="s">
        <v>530</v>
      </c>
      <c r="F29" s="87">
        <v>243.6</v>
      </c>
      <c r="G29" s="87"/>
      <c r="H29" s="87">
        <f t="shared" si="0"/>
        <v>0</v>
      </c>
      <c r="I29" s="87">
        <f t="shared" si="1"/>
        <v>0</v>
      </c>
      <c r="J29" s="87">
        <f t="shared" si="2"/>
        <v>0</v>
      </c>
      <c r="K29" s="88">
        <f>IF(J250=0,0,J29/J250)</f>
        <v>0</v>
      </c>
      <c r="L29" s="87">
        <v>0</v>
      </c>
      <c r="M29" s="87">
        <f t="shared" si="3"/>
        <v>0</v>
      </c>
      <c r="N29" s="89" t="s">
        <v>559</v>
      </c>
      <c r="Z29" s="33">
        <f t="shared" si="4"/>
        <v>0</v>
      </c>
      <c r="AB29" s="33">
        <f t="shared" si="5"/>
        <v>0</v>
      </c>
      <c r="AC29" s="33">
        <f t="shared" si="6"/>
        <v>0</v>
      </c>
      <c r="AD29" s="33">
        <f t="shared" si="7"/>
        <v>0</v>
      </c>
      <c r="AE29" s="33">
        <f t="shared" si="8"/>
        <v>0</v>
      </c>
      <c r="AF29" s="33">
        <f t="shared" si="9"/>
        <v>0</v>
      </c>
      <c r="AG29" s="33">
        <f t="shared" si="10"/>
        <v>0</v>
      </c>
      <c r="AH29" s="33">
        <f t="shared" si="11"/>
        <v>0</v>
      </c>
      <c r="AI29" s="25" t="s">
        <v>198</v>
      </c>
      <c r="AJ29" s="18">
        <f t="shared" si="12"/>
        <v>0</v>
      </c>
      <c r="AK29" s="18">
        <f t="shared" si="13"/>
        <v>0</v>
      </c>
      <c r="AL29" s="18">
        <f t="shared" si="14"/>
        <v>0</v>
      </c>
      <c r="AN29" s="33">
        <v>21</v>
      </c>
      <c r="AO29" s="33">
        <f t="shared" si="15"/>
        <v>0</v>
      </c>
      <c r="AP29" s="33">
        <f t="shared" si="16"/>
        <v>0</v>
      </c>
      <c r="AQ29" s="30" t="s">
        <v>6</v>
      </c>
      <c r="AV29" s="33">
        <f t="shared" si="17"/>
        <v>0</v>
      </c>
      <c r="AW29" s="33">
        <f t="shared" si="18"/>
        <v>0</v>
      </c>
      <c r="AX29" s="33">
        <f t="shared" si="19"/>
        <v>0</v>
      </c>
      <c r="AY29" s="34" t="s">
        <v>573</v>
      </c>
      <c r="AZ29" s="34" t="s">
        <v>587</v>
      </c>
      <c r="BA29" s="25" t="s">
        <v>601</v>
      </c>
      <c r="BC29" s="33">
        <f t="shared" si="20"/>
        <v>0</v>
      </c>
      <c r="BD29" s="33">
        <f t="shared" si="21"/>
        <v>0</v>
      </c>
      <c r="BE29" s="33">
        <v>0</v>
      </c>
      <c r="BF29" s="33">
        <f t="shared" si="22"/>
        <v>0</v>
      </c>
      <c r="BH29" s="18">
        <f t="shared" si="23"/>
        <v>0</v>
      </c>
      <c r="BI29" s="18">
        <f t="shared" si="24"/>
        <v>0</v>
      </c>
      <c r="BJ29" s="18">
        <f t="shared" si="25"/>
        <v>0</v>
      </c>
    </row>
    <row r="30" spans="1:62" ht="12.75">
      <c r="A30" s="86" t="s">
        <v>20</v>
      </c>
      <c r="B30" s="86" t="s">
        <v>198</v>
      </c>
      <c r="C30" s="86" t="s">
        <v>216</v>
      </c>
      <c r="D30" s="86" t="s">
        <v>364</v>
      </c>
      <c r="E30" s="86" t="s">
        <v>530</v>
      </c>
      <c r="F30" s="87">
        <v>34.8</v>
      </c>
      <c r="G30" s="87"/>
      <c r="H30" s="87">
        <f t="shared" si="0"/>
        <v>0</v>
      </c>
      <c r="I30" s="87">
        <f t="shared" si="1"/>
        <v>0</v>
      </c>
      <c r="J30" s="87">
        <f t="shared" si="2"/>
        <v>0</v>
      </c>
      <c r="K30" s="88">
        <f>IF(J250=0,0,J30/J250)</f>
        <v>0</v>
      </c>
      <c r="L30" s="87">
        <v>0</v>
      </c>
      <c r="M30" s="87">
        <f t="shared" si="3"/>
        <v>0</v>
      </c>
      <c r="N30" s="89" t="s">
        <v>559</v>
      </c>
      <c r="Z30" s="33">
        <f t="shared" si="4"/>
        <v>0</v>
      </c>
      <c r="AB30" s="33">
        <f t="shared" si="5"/>
        <v>0</v>
      </c>
      <c r="AC30" s="33">
        <f t="shared" si="6"/>
        <v>0</v>
      </c>
      <c r="AD30" s="33">
        <f t="shared" si="7"/>
        <v>0</v>
      </c>
      <c r="AE30" s="33">
        <f t="shared" si="8"/>
        <v>0</v>
      </c>
      <c r="AF30" s="33">
        <f t="shared" si="9"/>
        <v>0</v>
      </c>
      <c r="AG30" s="33">
        <f t="shared" si="10"/>
        <v>0</v>
      </c>
      <c r="AH30" s="33">
        <f t="shared" si="11"/>
        <v>0</v>
      </c>
      <c r="AI30" s="25" t="s">
        <v>198</v>
      </c>
      <c r="AJ30" s="18">
        <f t="shared" si="12"/>
        <v>0</v>
      </c>
      <c r="AK30" s="18">
        <f t="shared" si="13"/>
        <v>0</v>
      </c>
      <c r="AL30" s="18">
        <f t="shared" si="14"/>
        <v>0</v>
      </c>
      <c r="AN30" s="33">
        <v>21</v>
      </c>
      <c r="AO30" s="33">
        <f t="shared" si="15"/>
        <v>0</v>
      </c>
      <c r="AP30" s="33">
        <f t="shared" si="16"/>
        <v>0</v>
      </c>
      <c r="AQ30" s="30" t="s">
        <v>6</v>
      </c>
      <c r="AV30" s="33">
        <f t="shared" si="17"/>
        <v>0</v>
      </c>
      <c r="AW30" s="33">
        <f t="shared" si="18"/>
        <v>0</v>
      </c>
      <c r="AX30" s="33">
        <f t="shared" si="19"/>
        <v>0</v>
      </c>
      <c r="AY30" s="34" t="s">
        <v>573</v>
      </c>
      <c r="AZ30" s="34" t="s">
        <v>587</v>
      </c>
      <c r="BA30" s="25" t="s">
        <v>601</v>
      </c>
      <c r="BC30" s="33">
        <f t="shared" si="20"/>
        <v>0</v>
      </c>
      <c r="BD30" s="33">
        <f t="shared" si="21"/>
        <v>0</v>
      </c>
      <c r="BE30" s="33">
        <v>0</v>
      </c>
      <c r="BF30" s="33">
        <f t="shared" si="22"/>
        <v>0</v>
      </c>
      <c r="BH30" s="18">
        <f t="shared" si="23"/>
        <v>0</v>
      </c>
      <c r="BI30" s="18">
        <f t="shared" si="24"/>
        <v>0</v>
      </c>
      <c r="BJ30" s="18">
        <f t="shared" si="25"/>
        <v>0</v>
      </c>
    </row>
    <row r="31" spans="1:62" ht="12.75">
      <c r="A31" s="86" t="s">
        <v>21</v>
      </c>
      <c r="B31" s="86" t="s">
        <v>198</v>
      </c>
      <c r="C31" s="86" t="s">
        <v>217</v>
      </c>
      <c r="D31" s="86" t="s">
        <v>365</v>
      </c>
      <c r="E31" s="86" t="s">
        <v>530</v>
      </c>
      <c r="F31" s="87">
        <v>34.8</v>
      </c>
      <c r="G31" s="87"/>
      <c r="H31" s="87">
        <f t="shared" si="0"/>
        <v>0</v>
      </c>
      <c r="I31" s="87">
        <f t="shared" si="1"/>
        <v>0</v>
      </c>
      <c r="J31" s="87">
        <f t="shared" si="2"/>
        <v>0</v>
      </c>
      <c r="K31" s="88">
        <f>IF(J250=0,0,J31/J250)</f>
        <v>0</v>
      </c>
      <c r="L31" s="87">
        <v>0.00816</v>
      </c>
      <c r="M31" s="87">
        <f t="shared" si="3"/>
        <v>0.283968</v>
      </c>
      <c r="N31" s="89" t="s">
        <v>559</v>
      </c>
      <c r="Z31" s="33">
        <f t="shared" si="4"/>
        <v>0</v>
      </c>
      <c r="AB31" s="33">
        <f t="shared" si="5"/>
        <v>0</v>
      </c>
      <c r="AC31" s="33">
        <f t="shared" si="6"/>
        <v>0</v>
      </c>
      <c r="AD31" s="33">
        <f t="shared" si="7"/>
        <v>0</v>
      </c>
      <c r="AE31" s="33">
        <f t="shared" si="8"/>
        <v>0</v>
      </c>
      <c r="AF31" s="33">
        <f t="shared" si="9"/>
        <v>0</v>
      </c>
      <c r="AG31" s="33">
        <f t="shared" si="10"/>
        <v>0</v>
      </c>
      <c r="AH31" s="33">
        <f t="shared" si="11"/>
        <v>0</v>
      </c>
      <c r="AI31" s="25" t="s">
        <v>198</v>
      </c>
      <c r="AJ31" s="18">
        <f t="shared" si="12"/>
        <v>0</v>
      </c>
      <c r="AK31" s="18">
        <f t="shared" si="13"/>
        <v>0</v>
      </c>
      <c r="AL31" s="18">
        <f t="shared" si="14"/>
        <v>0</v>
      </c>
      <c r="AN31" s="33">
        <v>21</v>
      </c>
      <c r="AO31" s="33">
        <f>G31*0.120368946963874</f>
        <v>0</v>
      </c>
      <c r="AP31" s="33">
        <f>G31*(1-0.120368946963874)</f>
        <v>0</v>
      </c>
      <c r="AQ31" s="30" t="s">
        <v>6</v>
      </c>
      <c r="AV31" s="33">
        <f t="shared" si="17"/>
        <v>0</v>
      </c>
      <c r="AW31" s="33">
        <f t="shared" si="18"/>
        <v>0</v>
      </c>
      <c r="AX31" s="33">
        <f t="shared" si="19"/>
        <v>0</v>
      </c>
      <c r="AY31" s="34" t="s">
        <v>573</v>
      </c>
      <c r="AZ31" s="34" t="s">
        <v>587</v>
      </c>
      <c r="BA31" s="25" t="s">
        <v>601</v>
      </c>
      <c r="BC31" s="33">
        <f t="shared" si="20"/>
        <v>0</v>
      </c>
      <c r="BD31" s="33">
        <f t="shared" si="21"/>
        <v>0</v>
      </c>
      <c r="BE31" s="33">
        <v>0</v>
      </c>
      <c r="BF31" s="33">
        <f t="shared" si="22"/>
        <v>0.283968</v>
      </c>
      <c r="BH31" s="18">
        <f t="shared" si="23"/>
        <v>0</v>
      </c>
      <c r="BI31" s="18">
        <f t="shared" si="24"/>
        <v>0</v>
      </c>
      <c r="BJ31" s="18">
        <f t="shared" si="25"/>
        <v>0</v>
      </c>
    </row>
    <row r="32" spans="1:62" ht="12.75">
      <c r="A32" s="86" t="s">
        <v>22</v>
      </c>
      <c r="B32" s="86" t="s">
        <v>198</v>
      </c>
      <c r="C32" s="86" t="s">
        <v>218</v>
      </c>
      <c r="D32" s="86" t="s">
        <v>366</v>
      </c>
      <c r="E32" s="86" t="s">
        <v>530</v>
      </c>
      <c r="F32" s="87">
        <v>17.4</v>
      </c>
      <c r="G32" s="87"/>
      <c r="H32" s="87">
        <f t="shared" si="0"/>
        <v>0</v>
      </c>
      <c r="I32" s="87">
        <f t="shared" si="1"/>
        <v>0</v>
      </c>
      <c r="J32" s="87">
        <f t="shared" si="2"/>
        <v>0</v>
      </c>
      <c r="K32" s="88">
        <f>IF(J250=0,0,J32/J250)</f>
        <v>0</v>
      </c>
      <c r="L32" s="87">
        <v>0.0154</v>
      </c>
      <c r="M32" s="87">
        <f t="shared" si="3"/>
        <v>0.26796</v>
      </c>
      <c r="N32" s="89" t="s">
        <v>559</v>
      </c>
      <c r="Z32" s="33">
        <f t="shared" si="4"/>
        <v>0</v>
      </c>
      <c r="AB32" s="33">
        <f t="shared" si="5"/>
        <v>0</v>
      </c>
      <c r="AC32" s="33">
        <f t="shared" si="6"/>
        <v>0</v>
      </c>
      <c r="AD32" s="33">
        <f t="shared" si="7"/>
        <v>0</v>
      </c>
      <c r="AE32" s="33">
        <f t="shared" si="8"/>
        <v>0</v>
      </c>
      <c r="AF32" s="33">
        <f t="shared" si="9"/>
        <v>0</v>
      </c>
      <c r="AG32" s="33">
        <f t="shared" si="10"/>
        <v>0</v>
      </c>
      <c r="AH32" s="33">
        <f t="shared" si="11"/>
        <v>0</v>
      </c>
      <c r="AI32" s="25" t="s">
        <v>198</v>
      </c>
      <c r="AJ32" s="18">
        <f t="shared" si="12"/>
        <v>0</v>
      </c>
      <c r="AK32" s="18">
        <f t="shared" si="13"/>
        <v>0</v>
      </c>
      <c r="AL32" s="18">
        <f t="shared" si="14"/>
        <v>0</v>
      </c>
      <c r="AN32" s="33">
        <v>21</v>
      </c>
      <c r="AO32" s="33">
        <f>G32*0.137880085272695</f>
        <v>0</v>
      </c>
      <c r="AP32" s="33">
        <f>G32*(1-0.137880085272695)</f>
        <v>0</v>
      </c>
      <c r="AQ32" s="30" t="s">
        <v>6</v>
      </c>
      <c r="AV32" s="33">
        <f t="shared" si="17"/>
        <v>0</v>
      </c>
      <c r="AW32" s="33">
        <f t="shared" si="18"/>
        <v>0</v>
      </c>
      <c r="AX32" s="33">
        <f t="shared" si="19"/>
        <v>0</v>
      </c>
      <c r="AY32" s="34" t="s">
        <v>573</v>
      </c>
      <c r="AZ32" s="34" t="s">
        <v>587</v>
      </c>
      <c r="BA32" s="25" t="s">
        <v>601</v>
      </c>
      <c r="BC32" s="33">
        <f t="shared" si="20"/>
        <v>0</v>
      </c>
      <c r="BD32" s="33">
        <f t="shared" si="21"/>
        <v>0</v>
      </c>
      <c r="BE32" s="33">
        <v>0</v>
      </c>
      <c r="BF32" s="33">
        <f t="shared" si="22"/>
        <v>0.26796</v>
      </c>
      <c r="BH32" s="18">
        <f t="shared" si="23"/>
        <v>0</v>
      </c>
      <c r="BI32" s="18">
        <f t="shared" si="24"/>
        <v>0</v>
      </c>
      <c r="BJ32" s="18">
        <f t="shared" si="25"/>
        <v>0</v>
      </c>
    </row>
    <row r="33" spans="1:62" ht="12.75">
      <c r="A33" s="86" t="s">
        <v>23</v>
      </c>
      <c r="B33" s="86" t="s">
        <v>198</v>
      </c>
      <c r="C33" s="86" t="s">
        <v>219</v>
      </c>
      <c r="D33" s="86" t="s">
        <v>367</v>
      </c>
      <c r="E33" s="86" t="s">
        <v>530</v>
      </c>
      <c r="F33" s="87">
        <v>17.4</v>
      </c>
      <c r="G33" s="87"/>
      <c r="H33" s="87">
        <f t="shared" si="0"/>
        <v>0</v>
      </c>
      <c r="I33" s="87">
        <f t="shared" si="1"/>
        <v>0</v>
      </c>
      <c r="J33" s="87">
        <f t="shared" si="2"/>
        <v>0</v>
      </c>
      <c r="K33" s="88">
        <f>IF(J250=0,0,J33/J250)</f>
        <v>0</v>
      </c>
      <c r="L33" s="87">
        <v>0.01733</v>
      </c>
      <c r="M33" s="87">
        <f t="shared" si="3"/>
        <v>0.301542</v>
      </c>
      <c r="N33" s="89" t="s">
        <v>559</v>
      </c>
      <c r="Z33" s="33">
        <f t="shared" si="4"/>
        <v>0</v>
      </c>
      <c r="AB33" s="33">
        <f t="shared" si="5"/>
        <v>0</v>
      </c>
      <c r="AC33" s="33">
        <f t="shared" si="6"/>
        <v>0</v>
      </c>
      <c r="AD33" s="33">
        <f t="shared" si="7"/>
        <v>0</v>
      </c>
      <c r="AE33" s="33">
        <f t="shared" si="8"/>
        <v>0</v>
      </c>
      <c r="AF33" s="33">
        <f t="shared" si="9"/>
        <v>0</v>
      </c>
      <c r="AG33" s="33">
        <f t="shared" si="10"/>
        <v>0</v>
      </c>
      <c r="AH33" s="33">
        <f t="shared" si="11"/>
        <v>0</v>
      </c>
      <c r="AI33" s="25" t="s">
        <v>198</v>
      </c>
      <c r="AJ33" s="18">
        <f t="shared" si="12"/>
        <v>0</v>
      </c>
      <c r="AK33" s="18">
        <f t="shared" si="13"/>
        <v>0</v>
      </c>
      <c r="AL33" s="18">
        <f t="shared" si="14"/>
        <v>0</v>
      </c>
      <c r="AN33" s="33">
        <v>21</v>
      </c>
      <c r="AO33" s="33">
        <f>G33*0.11184083453615</f>
        <v>0</v>
      </c>
      <c r="AP33" s="33">
        <f>G33*(1-0.11184083453615)</f>
        <v>0</v>
      </c>
      <c r="AQ33" s="30" t="s">
        <v>6</v>
      </c>
      <c r="AV33" s="33">
        <f t="shared" si="17"/>
        <v>0</v>
      </c>
      <c r="AW33" s="33">
        <f t="shared" si="18"/>
        <v>0</v>
      </c>
      <c r="AX33" s="33">
        <f t="shared" si="19"/>
        <v>0</v>
      </c>
      <c r="AY33" s="34" t="s">
        <v>573</v>
      </c>
      <c r="AZ33" s="34" t="s">
        <v>587</v>
      </c>
      <c r="BA33" s="25" t="s">
        <v>601</v>
      </c>
      <c r="BC33" s="33">
        <f t="shared" si="20"/>
        <v>0</v>
      </c>
      <c r="BD33" s="33">
        <f t="shared" si="21"/>
        <v>0</v>
      </c>
      <c r="BE33" s="33">
        <v>0</v>
      </c>
      <c r="BF33" s="33">
        <f t="shared" si="22"/>
        <v>0.301542</v>
      </c>
      <c r="BH33" s="18">
        <f t="shared" si="23"/>
        <v>0</v>
      </c>
      <c r="BI33" s="18">
        <f t="shared" si="24"/>
        <v>0</v>
      </c>
      <c r="BJ33" s="18">
        <f t="shared" si="25"/>
        <v>0</v>
      </c>
    </row>
    <row r="34" spans="1:62" ht="12.75">
      <c r="A34" s="86" t="s">
        <v>24</v>
      </c>
      <c r="B34" s="86" t="s">
        <v>198</v>
      </c>
      <c r="C34" s="86" t="s">
        <v>220</v>
      </c>
      <c r="D34" s="86" t="s">
        <v>368</v>
      </c>
      <c r="E34" s="86" t="s">
        <v>530</v>
      </c>
      <c r="F34" s="87">
        <v>243.6</v>
      </c>
      <c r="G34" s="87"/>
      <c r="H34" s="87">
        <f t="shared" si="0"/>
        <v>0</v>
      </c>
      <c r="I34" s="87">
        <f t="shared" si="1"/>
        <v>0</v>
      </c>
      <c r="J34" s="87">
        <f t="shared" si="2"/>
        <v>0</v>
      </c>
      <c r="K34" s="88">
        <f>IF(J250=0,0,J34/J250)</f>
        <v>0</v>
      </c>
      <c r="L34" s="87">
        <v>0</v>
      </c>
      <c r="M34" s="87">
        <f t="shared" si="3"/>
        <v>0</v>
      </c>
      <c r="N34" s="89" t="s">
        <v>559</v>
      </c>
      <c r="Z34" s="33">
        <f t="shared" si="4"/>
        <v>0</v>
      </c>
      <c r="AB34" s="33">
        <f t="shared" si="5"/>
        <v>0</v>
      </c>
      <c r="AC34" s="33">
        <f t="shared" si="6"/>
        <v>0</v>
      </c>
      <c r="AD34" s="33">
        <f t="shared" si="7"/>
        <v>0</v>
      </c>
      <c r="AE34" s="33">
        <f t="shared" si="8"/>
        <v>0</v>
      </c>
      <c r="AF34" s="33">
        <f t="shared" si="9"/>
        <v>0</v>
      </c>
      <c r="AG34" s="33">
        <f t="shared" si="10"/>
        <v>0</v>
      </c>
      <c r="AH34" s="33">
        <f t="shared" si="11"/>
        <v>0</v>
      </c>
      <c r="AI34" s="25" t="s">
        <v>198</v>
      </c>
      <c r="AJ34" s="18">
        <f t="shared" si="12"/>
        <v>0</v>
      </c>
      <c r="AK34" s="18">
        <f t="shared" si="13"/>
        <v>0</v>
      </c>
      <c r="AL34" s="18">
        <f t="shared" si="14"/>
        <v>0</v>
      </c>
      <c r="AN34" s="33">
        <v>21</v>
      </c>
      <c r="AO34" s="33">
        <f>G34*0</f>
        <v>0</v>
      </c>
      <c r="AP34" s="33">
        <f>G34*(1-0)</f>
        <v>0</v>
      </c>
      <c r="AQ34" s="30" t="s">
        <v>6</v>
      </c>
      <c r="AV34" s="33">
        <f t="shared" si="17"/>
        <v>0</v>
      </c>
      <c r="AW34" s="33">
        <f t="shared" si="18"/>
        <v>0</v>
      </c>
      <c r="AX34" s="33">
        <f t="shared" si="19"/>
        <v>0</v>
      </c>
      <c r="AY34" s="34" t="s">
        <v>573</v>
      </c>
      <c r="AZ34" s="34" t="s">
        <v>587</v>
      </c>
      <c r="BA34" s="25" t="s">
        <v>601</v>
      </c>
      <c r="BC34" s="33">
        <f t="shared" si="20"/>
        <v>0</v>
      </c>
      <c r="BD34" s="33">
        <f t="shared" si="21"/>
        <v>0</v>
      </c>
      <c r="BE34" s="33">
        <v>0</v>
      </c>
      <c r="BF34" s="33">
        <f t="shared" si="22"/>
        <v>0</v>
      </c>
      <c r="BH34" s="18">
        <f t="shared" si="23"/>
        <v>0</v>
      </c>
      <c r="BI34" s="18">
        <f t="shared" si="24"/>
        <v>0</v>
      </c>
      <c r="BJ34" s="18">
        <f t="shared" si="25"/>
        <v>0</v>
      </c>
    </row>
    <row r="35" spans="1:62" ht="12.75">
      <c r="A35" s="86" t="s">
        <v>25</v>
      </c>
      <c r="B35" s="86" t="s">
        <v>198</v>
      </c>
      <c r="C35" s="86" t="s">
        <v>221</v>
      </c>
      <c r="D35" s="86" t="s">
        <v>369</v>
      </c>
      <c r="E35" s="86" t="s">
        <v>530</v>
      </c>
      <c r="F35" s="87">
        <v>34.8</v>
      </c>
      <c r="G35" s="87"/>
      <c r="H35" s="87">
        <f t="shared" si="0"/>
        <v>0</v>
      </c>
      <c r="I35" s="87">
        <f t="shared" si="1"/>
        <v>0</v>
      </c>
      <c r="J35" s="87">
        <f t="shared" si="2"/>
        <v>0</v>
      </c>
      <c r="K35" s="88">
        <f>IF(J250=0,0,J35/J250)</f>
        <v>0</v>
      </c>
      <c r="L35" s="87">
        <v>0</v>
      </c>
      <c r="M35" s="87">
        <f t="shared" si="3"/>
        <v>0</v>
      </c>
      <c r="N35" s="89" t="s">
        <v>559</v>
      </c>
      <c r="Z35" s="33">
        <f t="shared" si="4"/>
        <v>0</v>
      </c>
      <c r="AB35" s="33">
        <f t="shared" si="5"/>
        <v>0</v>
      </c>
      <c r="AC35" s="33">
        <f t="shared" si="6"/>
        <v>0</v>
      </c>
      <c r="AD35" s="33">
        <f t="shared" si="7"/>
        <v>0</v>
      </c>
      <c r="AE35" s="33">
        <f t="shared" si="8"/>
        <v>0</v>
      </c>
      <c r="AF35" s="33">
        <f t="shared" si="9"/>
        <v>0</v>
      </c>
      <c r="AG35" s="33">
        <f t="shared" si="10"/>
        <v>0</v>
      </c>
      <c r="AH35" s="33">
        <f t="shared" si="11"/>
        <v>0</v>
      </c>
      <c r="AI35" s="25" t="s">
        <v>198</v>
      </c>
      <c r="AJ35" s="18">
        <f t="shared" si="12"/>
        <v>0</v>
      </c>
      <c r="AK35" s="18">
        <f t="shared" si="13"/>
        <v>0</v>
      </c>
      <c r="AL35" s="18">
        <f t="shared" si="14"/>
        <v>0</v>
      </c>
      <c r="AN35" s="33">
        <v>21</v>
      </c>
      <c r="AO35" s="33">
        <f>G35*0</f>
        <v>0</v>
      </c>
      <c r="AP35" s="33">
        <f>G35*(1-0)</f>
        <v>0</v>
      </c>
      <c r="AQ35" s="30" t="s">
        <v>6</v>
      </c>
      <c r="AV35" s="33">
        <f t="shared" si="17"/>
        <v>0</v>
      </c>
      <c r="AW35" s="33">
        <f t="shared" si="18"/>
        <v>0</v>
      </c>
      <c r="AX35" s="33">
        <f t="shared" si="19"/>
        <v>0</v>
      </c>
      <c r="AY35" s="34" t="s">
        <v>573</v>
      </c>
      <c r="AZ35" s="34" t="s">
        <v>587</v>
      </c>
      <c r="BA35" s="25" t="s">
        <v>601</v>
      </c>
      <c r="BC35" s="33">
        <f t="shared" si="20"/>
        <v>0</v>
      </c>
      <c r="BD35" s="33">
        <f t="shared" si="21"/>
        <v>0</v>
      </c>
      <c r="BE35" s="33">
        <v>0</v>
      </c>
      <c r="BF35" s="33">
        <f t="shared" si="22"/>
        <v>0</v>
      </c>
      <c r="BH35" s="18">
        <f t="shared" si="23"/>
        <v>0</v>
      </c>
      <c r="BI35" s="18">
        <f t="shared" si="24"/>
        <v>0</v>
      </c>
      <c r="BJ35" s="18">
        <f t="shared" si="25"/>
        <v>0</v>
      </c>
    </row>
    <row r="36" spans="1:62" ht="12.75">
      <c r="A36" s="86" t="s">
        <v>26</v>
      </c>
      <c r="B36" s="86" t="s">
        <v>198</v>
      </c>
      <c r="C36" s="86" t="s">
        <v>214</v>
      </c>
      <c r="D36" s="86" t="s">
        <v>370</v>
      </c>
      <c r="E36" s="86" t="s">
        <v>530</v>
      </c>
      <c r="F36" s="87">
        <v>348</v>
      </c>
      <c r="G36" s="87"/>
      <c r="H36" s="87">
        <f t="shared" si="0"/>
        <v>0</v>
      </c>
      <c r="I36" s="87">
        <f t="shared" si="1"/>
        <v>0</v>
      </c>
      <c r="J36" s="87">
        <f t="shared" si="2"/>
        <v>0</v>
      </c>
      <c r="K36" s="88">
        <f>IF(J250=0,0,J36/J250)</f>
        <v>0</v>
      </c>
      <c r="L36" s="87">
        <v>0</v>
      </c>
      <c r="M36" s="87">
        <f t="shared" si="3"/>
        <v>0</v>
      </c>
      <c r="N36" s="89" t="s">
        <v>559</v>
      </c>
      <c r="Z36" s="33">
        <f t="shared" si="4"/>
        <v>0</v>
      </c>
      <c r="AB36" s="33">
        <f t="shared" si="5"/>
        <v>0</v>
      </c>
      <c r="AC36" s="33">
        <f t="shared" si="6"/>
        <v>0</v>
      </c>
      <c r="AD36" s="33">
        <f t="shared" si="7"/>
        <v>0</v>
      </c>
      <c r="AE36" s="33">
        <f t="shared" si="8"/>
        <v>0</v>
      </c>
      <c r="AF36" s="33">
        <f t="shared" si="9"/>
        <v>0</v>
      </c>
      <c r="AG36" s="33">
        <f t="shared" si="10"/>
        <v>0</v>
      </c>
      <c r="AH36" s="33">
        <f t="shared" si="11"/>
        <v>0</v>
      </c>
      <c r="AI36" s="25" t="s">
        <v>198</v>
      </c>
      <c r="AJ36" s="18">
        <f t="shared" si="12"/>
        <v>0</v>
      </c>
      <c r="AK36" s="18">
        <f t="shared" si="13"/>
        <v>0</v>
      </c>
      <c r="AL36" s="18">
        <f t="shared" si="14"/>
        <v>0</v>
      </c>
      <c r="AN36" s="33">
        <v>21</v>
      </c>
      <c r="AO36" s="33">
        <f>G36*0</f>
        <v>0</v>
      </c>
      <c r="AP36" s="33">
        <f>G36*(1-0)</f>
        <v>0</v>
      </c>
      <c r="AQ36" s="30" t="s">
        <v>6</v>
      </c>
      <c r="AV36" s="33">
        <f t="shared" si="17"/>
        <v>0</v>
      </c>
      <c r="AW36" s="33">
        <f t="shared" si="18"/>
        <v>0</v>
      </c>
      <c r="AX36" s="33">
        <f t="shared" si="19"/>
        <v>0</v>
      </c>
      <c r="AY36" s="34" t="s">
        <v>573</v>
      </c>
      <c r="AZ36" s="34" t="s">
        <v>587</v>
      </c>
      <c r="BA36" s="25" t="s">
        <v>601</v>
      </c>
      <c r="BC36" s="33">
        <f t="shared" si="20"/>
        <v>0</v>
      </c>
      <c r="BD36" s="33">
        <f t="shared" si="21"/>
        <v>0</v>
      </c>
      <c r="BE36" s="33">
        <v>0</v>
      </c>
      <c r="BF36" s="33">
        <f t="shared" si="22"/>
        <v>0</v>
      </c>
      <c r="BH36" s="18">
        <f t="shared" si="23"/>
        <v>0</v>
      </c>
      <c r="BI36" s="18">
        <f t="shared" si="24"/>
        <v>0</v>
      </c>
      <c r="BJ36" s="18">
        <f t="shared" si="25"/>
        <v>0</v>
      </c>
    </row>
    <row r="37" spans="1:62" ht="12.75">
      <c r="A37" s="86" t="s">
        <v>27</v>
      </c>
      <c r="B37" s="86" t="s">
        <v>198</v>
      </c>
      <c r="C37" s="86" t="s">
        <v>222</v>
      </c>
      <c r="D37" s="86" t="s">
        <v>371</v>
      </c>
      <c r="E37" s="86" t="s">
        <v>530</v>
      </c>
      <c r="F37" s="87">
        <v>27.84</v>
      </c>
      <c r="G37" s="87"/>
      <c r="H37" s="87">
        <f t="shared" si="0"/>
        <v>0</v>
      </c>
      <c r="I37" s="87">
        <f t="shared" si="1"/>
        <v>0</v>
      </c>
      <c r="J37" s="87">
        <f t="shared" si="2"/>
        <v>0</v>
      </c>
      <c r="K37" s="88">
        <f>IF(J250=0,0,J37/J250)</f>
        <v>0</v>
      </c>
      <c r="L37" s="87">
        <v>0</v>
      </c>
      <c r="M37" s="87">
        <f t="shared" si="3"/>
        <v>0</v>
      </c>
      <c r="N37" s="89" t="s">
        <v>559</v>
      </c>
      <c r="Z37" s="33">
        <f t="shared" si="4"/>
        <v>0</v>
      </c>
      <c r="AB37" s="33">
        <f t="shared" si="5"/>
        <v>0</v>
      </c>
      <c r="AC37" s="33">
        <f t="shared" si="6"/>
        <v>0</v>
      </c>
      <c r="AD37" s="33">
        <f t="shared" si="7"/>
        <v>0</v>
      </c>
      <c r="AE37" s="33">
        <f t="shared" si="8"/>
        <v>0</v>
      </c>
      <c r="AF37" s="33">
        <f t="shared" si="9"/>
        <v>0</v>
      </c>
      <c r="AG37" s="33">
        <f t="shared" si="10"/>
        <v>0</v>
      </c>
      <c r="AH37" s="33">
        <f t="shared" si="11"/>
        <v>0</v>
      </c>
      <c r="AI37" s="25" t="s">
        <v>198</v>
      </c>
      <c r="AJ37" s="18">
        <f t="shared" si="12"/>
        <v>0</v>
      </c>
      <c r="AK37" s="18">
        <f t="shared" si="13"/>
        <v>0</v>
      </c>
      <c r="AL37" s="18">
        <f t="shared" si="14"/>
        <v>0</v>
      </c>
      <c r="AN37" s="33">
        <v>21</v>
      </c>
      <c r="AO37" s="33">
        <f>G37*0</f>
        <v>0</v>
      </c>
      <c r="AP37" s="33">
        <f>G37*(1-0)</f>
        <v>0</v>
      </c>
      <c r="AQ37" s="30" t="s">
        <v>6</v>
      </c>
      <c r="AV37" s="33">
        <f t="shared" si="17"/>
        <v>0</v>
      </c>
      <c r="AW37" s="33">
        <f t="shared" si="18"/>
        <v>0</v>
      </c>
      <c r="AX37" s="33">
        <f t="shared" si="19"/>
        <v>0</v>
      </c>
      <c r="AY37" s="34" t="s">
        <v>573</v>
      </c>
      <c r="AZ37" s="34" t="s">
        <v>587</v>
      </c>
      <c r="BA37" s="25" t="s">
        <v>601</v>
      </c>
      <c r="BC37" s="33">
        <f t="shared" si="20"/>
        <v>0</v>
      </c>
      <c r="BD37" s="33">
        <f t="shared" si="21"/>
        <v>0</v>
      </c>
      <c r="BE37" s="33">
        <v>0</v>
      </c>
      <c r="BF37" s="33">
        <f t="shared" si="22"/>
        <v>0</v>
      </c>
      <c r="BH37" s="18">
        <f t="shared" si="23"/>
        <v>0</v>
      </c>
      <c r="BI37" s="18">
        <f t="shared" si="24"/>
        <v>0</v>
      </c>
      <c r="BJ37" s="18">
        <f t="shared" si="25"/>
        <v>0</v>
      </c>
    </row>
    <row r="38" spans="1:62" ht="12.75">
      <c r="A38" s="86" t="s">
        <v>28</v>
      </c>
      <c r="B38" s="86" t="s">
        <v>198</v>
      </c>
      <c r="C38" s="86" t="s">
        <v>223</v>
      </c>
      <c r="D38" s="86" t="s">
        <v>372</v>
      </c>
      <c r="E38" s="86" t="s">
        <v>530</v>
      </c>
      <c r="F38" s="87">
        <v>17.05</v>
      </c>
      <c r="G38" s="87"/>
      <c r="H38" s="87">
        <f t="shared" si="0"/>
        <v>0</v>
      </c>
      <c r="I38" s="87">
        <f t="shared" si="1"/>
        <v>0</v>
      </c>
      <c r="J38" s="87">
        <f t="shared" si="2"/>
        <v>0</v>
      </c>
      <c r="K38" s="88">
        <f>IF(J250=0,0,J38/J250)</f>
        <v>0</v>
      </c>
      <c r="L38" s="87">
        <v>0</v>
      </c>
      <c r="M38" s="87">
        <f t="shared" si="3"/>
        <v>0</v>
      </c>
      <c r="N38" s="89" t="s">
        <v>559</v>
      </c>
      <c r="Z38" s="33">
        <f t="shared" si="4"/>
        <v>0</v>
      </c>
      <c r="AB38" s="33">
        <f t="shared" si="5"/>
        <v>0</v>
      </c>
      <c r="AC38" s="33">
        <f t="shared" si="6"/>
        <v>0</v>
      </c>
      <c r="AD38" s="33">
        <f t="shared" si="7"/>
        <v>0</v>
      </c>
      <c r="AE38" s="33">
        <f t="shared" si="8"/>
        <v>0</v>
      </c>
      <c r="AF38" s="33">
        <f t="shared" si="9"/>
        <v>0</v>
      </c>
      <c r="AG38" s="33">
        <f t="shared" si="10"/>
        <v>0</v>
      </c>
      <c r="AH38" s="33">
        <f t="shared" si="11"/>
        <v>0</v>
      </c>
      <c r="AI38" s="25" t="s">
        <v>198</v>
      </c>
      <c r="AJ38" s="18">
        <f t="shared" si="12"/>
        <v>0</v>
      </c>
      <c r="AK38" s="18">
        <f t="shared" si="13"/>
        <v>0</v>
      </c>
      <c r="AL38" s="18">
        <f t="shared" si="14"/>
        <v>0</v>
      </c>
      <c r="AN38" s="33">
        <v>21</v>
      </c>
      <c r="AO38" s="33">
        <f>G38*0</f>
        <v>0</v>
      </c>
      <c r="AP38" s="33">
        <f>G38*(1-0)</f>
        <v>0</v>
      </c>
      <c r="AQ38" s="30" t="s">
        <v>6</v>
      </c>
      <c r="AV38" s="33">
        <f t="shared" si="17"/>
        <v>0</v>
      </c>
      <c r="AW38" s="33">
        <f t="shared" si="18"/>
        <v>0</v>
      </c>
      <c r="AX38" s="33">
        <f t="shared" si="19"/>
        <v>0</v>
      </c>
      <c r="AY38" s="34" t="s">
        <v>573</v>
      </c>
      <c r="AZ38" s="34" t="s">
        <v>587</v>
      </c>
      <c r="BA38" s="25" t="s">
        <v>601</v>
      </c>
      <c r="BC38" s="33">
        <f t="shared" si="20"/>
        <v>0</v>
      </c>
      <c r="BD38" s="33">
        <f t="shared" si="21"/>
        <v>0</v>
      </c>
      <c r="BE38" s="33">
        <v>0</v>
      </c>
      <c r="BF38" s="33">
        <f t="shared" si="22"/>
        <v>0</v>
      </c>
      <c r="BH38" s="18">
        <f t="shared" si="23"/>
        <v>0</v>
      </c>
      <c r="BI38" s="18">
        <f t="shared" si="24"/>
        <v>0</v>
      </c>
      <c r="BJ38" s="18">
        <f t="shared" si="25"/>
        <v>0</v>
      </c>
    </row>
    <row r="39" spans="1:14" ht="12.75">
      <c r="A39" s="95"/>
      <c r="B39" s="95"/>
      <c r="C39" s="95"/>
      <c r="D39" s="96" t="s">
        <v>373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62" ht="12.75">
      <c r="A40" s="86" t="s">
        <v>29</v>
      </c>
      <c r="B40" s="86" t="s">
        <v>198</v>
      </c>
      <c r="C40" s="86" t="s">
        <v>224</v>
      </c>
      <c r="D40" s="86" t="s">
        <v>374</v>
      </c>
      <c r="E40" s="86" t="s">
        <v>530</v>
      </c>
      <c r="F40" s="87">
        <v>278.4</v>
      </c>
      <c r="G40" s="87"/>
      <c r="H40" s="87">
        <f>F40*AO40</f>
        <v>0</v>
      </c>
      <c r="I40" s="87">
        <f>F40*AP40</f>
        <v>0</v>
      </c>
      <c r="J40" s="87">
        <f>F40*G40</f>
        <v>0</v>
      </c>
      <c r="K40" s="88">
        <f>IF(J250=0,0,J40/J250)</f>
        <v>0</v>
      </c>
      <c r="L40" s="87">
        <v>0</v>
      </c>
      <c r="M40" s="87">
        <f>F40*L40</f>
        <v>0</v>
      </c>
      <c r="N40" s="89" t="s">
        <v>559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5" t="s">
        <v>198</v>
      </c>
      <c r="AJ40" s="18">
        <f>IF(AN40=0,J40,0)</f>
        <v>0</v>
      </c>
      <c r="AK40" s="18">
        <f>IF(AN40=15,J40,0)</f>
        <v>0</v>
      </c>
      <c r="AL40" s="18">
        <f>IF(AN40=21,J40,0)</f>
        <v>0</v>
      </c>
      <c r="AN40" s="33">
        <v>21</v>
      </c>
      <c r="AO40" s="33">
        <f>G40*0</f>
        <v>0</v>
      </c>
      <c r="AP40" s="33">
        <f>G40*(1-0)</f>
        <v>0</v>
      </c>
      <c r="AQ40" s="30" t="s">
        <v>6</v>
      </c>
      <c r="AV40" s="33">
        <f>AW40+AX40</f>
        <v>0</v>
      </c>
      <c r="AW40" s="33">
        <f>F40*AO40</f>
        <v>0</v>
      </c>
      <c r="AX40" s="33">
        <f>F40*AP40</f>
        <v>0</v>
      </c>
      <c r="AY40" s="34" t="s">
        <v>573</v>
      </c>
      <c r="AZ40" s="34" t="s">
        <v>587</v>
      </c>
      <c r="BA40" s="25" t="s">
        <v>601</v>
      </c>
      <c r="BC40" s="33">
        <f>AW40+AX40</f>
        <v>0</v>
      </c>
      <c r="BD40" s="33">
        <f>G40/(100-BE40)*100</f>
        <v>0</v>
      </c>
      <c r="BE40" s="33">
        <v>0</v>
      </c>
      <c r="BF40" s="33">
        <f>M40</f>
        <v>0</v>
      </c>
      <c r="BH40" s="18">
        <f>F40*AO40</f>
        <v>0</v>
      </c>
      <c r="BI40" s="18">
        <f>F40*AP40</f>
        <v>0</v>
      </c>
      <c r="BJ40" s="18">
        <f>F40*G40</f>
        <v>0</v>
      </c>
    </row>
    <row r="41" spans="1:14" ht="12.75">
      <c r="A41" s="95"/>
      <c r="B41" s="95"/>
      <c r="C41" s="95"/>
      <c r="D41" s="96" t="s">
        <v>375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62" ht="12.75">
      <c r="A42" s="86" t="s">
        <v>30</v>
      </c>
      <c r="B42" s="86" t="s">
        <v>198</v>
      </c>
      <c r="C42" s="86" t="s">
        <v>225</v>
      </c>
      <c r="D42" s="86" t="s">
        <v>376</v>
      </c>
      <c r="E42" s="86" t="s">
        <v>530</v>
      </c>
      <c r="F42" s="87">
        <v>1392</v>
      </c>
      <c r="G42" s="87"/>
      <c r="H42" s="87">
        <f>F42*AO42</f>
        <v>0</v>
      </c>
      <c r="I42" s="87">
        <f>F42*AP42</f>
        <v>0</v>
      </c>
      <c r="J42" s="87">
        <f>F42*G42</f>
        <v>0</v>
      </c>
      <c r="K42" s="88">
        <f>IF(J250=0,0,J42/J250)</f>
        <v>0</v>
      </c>
      <c r="L42" s="87">
        <v>0</v>
      </c>
      <c r="M42" s="87">
        <f>F42*L42</f>
        <v>0</v>
      </c>
      <c r="N42" s="89" t="s">
        <v>559</v>
      </c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25" t="s">
        <v>198</v>
      </c>
      <c r="AJ42" s="18">
        <f>IF(AN42=0,J42,0)</f>
        <v>0</v>
      </c>
      <c r="AK42" s="18">
        <f>IF(AN42=15,J42,0)</f>
        <v>0</v>
      </c>
      <c r="AL42" s="18">
        <f>IF(AN42=21,J42,0)</f>
        <v>0</v>
      </c>
      <c r="AN42" s="33">
        <v>21</v>
      </c>
      <c r="AO42" s="33">
        <f>G42*0</f>
        <v>0</v>
      </c>
      <c r="AP42" s="33">
        <f>G42*(1-0)</f>
        <v>0</v>
      </c>
      <c r="AQ42" s="30" t="s">
        <v>6</v>
      </c>
      <c r="AV42" s="33">
        <f>AW42+AX42</f>
        <v>0</v>
      </c>
      <c r="AW42" s="33">
        <f>F42*AO42</f>
        <v>0</v>
      </c>
      <c r="AX42" s="33">
        <f>F42*AP42</f>
        <v>0</v>
      </c>
      <c r="AY42" s="34" t="s">
        <v>573</v>
      </c>
      <c r="AZ42" s="34" t="s">
        <v>587</v>
      </c>
      <c r="BA42" s="25" t="s">
        <v>601</v>
      </c>
      <c r="BC42" s="33">
        <f>AW42+AX42</f>
        <v>0</v>
      </c>
      <c r="BD42" s="33">
        <f>G42/(100-BE42)*100</f>
        <v>0</v>
      </c>
      <c r="BE42" s="33">
        <v>0</v>
      </c>
      <c r="BF42" s="33">
        <f>M42</f>
        <v>0</v>
      </c>
      <c r="BH42" s="18">
        <f>F42*AO42</f>
        <v>0</v>
      </c>
      <c r="BI42" s="18">
        <f>F42*AP42</f>
        <v>0</v>
      </c>
      <c r="BJ42" s="18">
        <f>F42*G42</f>
        <v>0</v>
      </c>
    </row>
    <row r="43" spans="1:14" ht="12.75">
      <c r="A43" s="95"/>
      <c r="B43" s="95"/>
      <c r="C43" s="95"/>
      <c r="D43" s="96" t="s">
        <v>377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62" ht="12.75">
      <c r="A44" s="86" t="s">
        <v>31</v>
      </c>
      <c r="B44" s="86" t="s">
        <v>198</v>
      </c>
      <c r="C44" s="86" t="s">
        <v>226</v>
      </c>
      <c r="D44" s="86" t="s">
        <v>378</v>
      </c>
      <c r="E44" s="86" t="s">
        <v>530</v>
      </c>
      <c r="F44" s="87">
        <v>69.6</v>
      </c>
      <c r="G44" s="87"/>
      <c r="H44" s="87">
        <f aca="true" t="shared" si="26" ref="H44:H52">F44*AO44</f>
        <v>0</v>
      </c>
      <c r="I44" s="87">
        <f aca="true" t="shared" si="27" ref="I44:I52">F44*AP44</f>
        <v>0</v>
      </c>
      <c r="J44" s="87">
        <f aca="true" t="shared" si="28" ref="J44:J52">F44*G44</f>
        <v>0</v>
      </c>
      <c r="K44" s="88">
        <f>IF(J250=0,0,J44/J250)</f>
        <v>0</v>
      </c>
      <c r="L44" s="87">
        <v>0</v>
      </c>
      <c r="M44" s="87">
        <f aca="true" t="shared" si="29" ref="M44:M52">F44*L44</f>
        <v>0</v>
      </c>
      <c r="N44" s="89" t="s">
        <v>559</v>
      </c>
      <c r="Z44" s="33">
        <f aca="true" t="shared" si="30" ref="Z44:Z52">IF(AQ44="5",BJ44,0)</f>
        <v>0</v>
      </c>
      <c r="AB44" s="33">
        <f aca="true" t="shared" si="31" ref="AB44:AB52">IF(AQ44="1",BH44,0)</f>
        <v>0</v>
      </c>
      <c r="AC44" s="33">
        <f aca="true" t="shared" si="32" ref="AC44:AC52">IF(AQ44="1",BI44,0)</f>
        <v>0</v>
      </c>
      <c r="AD44" s="33">
        <f aca="true" t="shared" si="33" ref="AD44:AD52">IF(AQ44="7",BH44,0)</f>
        <v>0</v>
      </c>
      <c r="AE44" s="33">
        <f aca="true" t="shared" si="34" ref="AE44:AE52">IF(AQ44="7",BI44,0)</f>
        <v>0</v>
      </c>
      <c r="AF44" s="33">
        <f aca="true" t="shared" si="35" ref="AF44:AF52">IF(AQ44="2",BH44,0)</f>
        <v>0</v>
      </c>
      <c r="AG44" s="33">
        <f aca="true" t="shared" si="36" ref="AG44:AG52">IF(AQ44="2",BI44,0)</f>
        <v>0</v>
      </c>
      <c r="AH44" s="33">
        <f aca="true" t="shared" si="37" ref="AH44:AH52">IF(AQ44="0",BJ44,0)</f>
        <v>0</v>
      </c>
      <c r="AI44" s="25" t="s">
        <v>198</v>
      </c>
      <c r="AJ44" s="18">
        <f aca="true" t="shared" si="38" ref="AJ44:AJ52">IF(AN44=0,J44,0)</f>
        <v>0</v>
      </c>
      <c r="AK44" s="18">
        <f aca="true" t="shared" si="39" ref="AK44:AK52">IF(AN44=15,J44,0)</f>
        <v>0</v>
      </c>
      <c r="AL44" s="18">
        <f aca="true" t="shared" si="40" ref="AL44:AL52">IF(AN44=21,J44,0)</f>
        <v>0</v>
      </c>
      <c r="AN44" s="33">
        <v>21</v>
      </c>
      <c r="AO44" s="33">
        <f>G44*0</f>
        <v>0</v>
      </c>
      <c r="AP44" s="33">
        <f>G44*(1-0)</f>
        <v>0</v>
      </c>
      <c r="AQ44" s="30" t="s">
        <v>6</v>
      </c>
      <c r="AV44" s="33">
        <f aca="true" t="shared" si="41" ref="AV44:AV52">AW44+AX44</f>
        <v>0</v>
      </c>
      <c r="AW44" s="33">
        <f aca="true" t="shared" si="42" ref="AW44:AW52">F44*AO44</f>
        <v>0</v>
      </c>
      <c r="AX44" s="33">
        <f aca="true" t="shared" si="43" ref="AX44:AX52">F44*AP44</f>
        <v>0</v>
      </c>
      <c r="AY44" s="34" t="s">
        <v>573</v>
      </c>
      <c r="AZ44" s="34" t="s">
        <v>587</v>
      </c>
      <c r="BA44" s="25" t="s">
        <v>601</v>
      </c>
      <c r="BC44" s="33">
        <f aca="true" t="shared" si="44" ref="BC44:BC52">AW44+AX44</f>
        <v>0</v>
      </c>
      <c r="BD44" s="33">
        <f aca="true" t="shared" si="45" ref="BD44:BD52">G44/(100-BE44)*100</f>
        <v>0</v>
      </c>
      <c r="BE44" s="33">
        <v>0</v>
      </c>
      <c r="BF44" s="33">
        <f aca="true" t="shared" si="46" ref="BF44:BF52">M44</f>
        <v>0</v>
      </c>
      <c r="BH44" s="18">
        <f aca="true" t="shared" si="47" ref="BH44:BH52">F44*AO44</f>
        <v>0</v>
      </c>
      <c r="BI44" s="18">
        <f aca="true" t="shared" si="48" ref="BI44:BI52">F44*AP44</f>
        <v>0</v>
      </c>
      <c r="BJ44" s="18">
        <f aca="true" t="shared" si="49" ref="BJ44:BJ52">F44*G44</f>
        <v>0</v>
      </c>
    </row>
    <row r="45" spans="1:62" ht="12.75">
      <c r="A45" s="86" t="s">
        <v>32</v>
      </c>
      <c r="B45" s="86" t="s">
        <v>198</v>
      </c>
      <c r="C45" s="86" t="s">
        <v>227</v>
      </c>
      <c r="D45" s="86" t="s">
        <v>379</v>
      </c>
      <c r="E45" s="86" t="s">
        <v>530</v>
      </c>
      <c r="F45" s="87">
        <v>348</v>
      </c>
      <c r="G45" s="87"/>
      <c r="H45" s="87">
        <f t="shared" si="26"/>
        <v>0</v>
      </c>
      <c r="I45" s="87">
        <f t="shared" si="27"/>
        <v>0</v>
      </c>
      <c r="J45" s="87">
        <f t="shared" si="28"/>
        <v>0</v>
      </c>
      <c r="K45" s="88">
        <f>IF(J250=0,0,J45/J250)</f>
        <v>0</v>
      </c>
      <c r="L45" s="87">
        <v>0</v>
      </c>
      <c r="M45" s="87">
        <f t="shared" si="29"/>
        <v>0</v>
      </c>
      <c r="N45" s="89" t="s">
        <v>559</v>
      </c>
      <c r="Z45" s="33">
        <f t="shared" si="30"/>
        <v>0</v>
      </c>
      <c r="AB45" s="33">
        <f t="shared" si="31"/>
        <v>0</v>
      </c>
      <c r="AC45" s="33">
        <f t="shared" si="32"/>
        <v>0</v>
      </c>
      <c r="AD45" s="33">
        <f t="shared" si="33"/>
        <v>0</v>
      </c>
      <c r="AE45" s="33">
        <f t="shared" si="34"/>
        <v>0</v>
      </c>
      <c r="AF45" s="33">
        <f t="shared" si="35"/>
        <v>0</v>
      </c>
      <c r="AG45" s="33">
        <f t="shared" si="36"/>
        <v>0</v>
      </c>
      <c r="AH45" s="33">
        <f t="shared" si="37"/>
        <v>0</v>
      </c>
      <c r="AI45" s="25" t="s">
        <v>198</v>
      </c>
      <c r="AJ45" s="18">
        <f t="shared" si="38"/>
        <v>0</v>
      </c>
      <c r="AK45" s="18">
        <f t="shared" si="39"/>
        <v>0</v>
      </c>
      <c r="AL45" s="18">
        <f t="shared" si="40"/>
        <v>0</v>
      </c>
      <c r="AN45" s="33">
        <v>21</v>
      </c>
      <c r="AO45" s="33">
        <f>G45*0</f>
        <v>0</v>
      </c>
      <c r="AP45" s="33">
        <f>G45*(1-0)</f>
        <v>0</v>
      </c>
      <c r="AQ45" s="30" t="s">
        <v>6</v>
      </c>
      <c r="AV45" s="33">
        <f t="shared" si="41"/>
        <v>0</v>
      </c>
      <c r="AW45" s="33">
        <f t="shared" si="42"/>
        <v>0</v>
      </c>
      <c r="AX45" s="33">
        <f t="shared" si="43"/>
        <v>0</v>
      </c>
      <c r="AY45" s="34" t="s">
        <v>573</v>
      </c>
      <c r="AZ45" s="34" t="s">
        <v>587</v>
      </c>
      <c r="BA45" s="25" t="s">
        <v>601</v>
      </c>
      <c r="BC45" s="33">
        <f t="shared" si="44"/>
        <v>0</v>
      </c>
      <c r="BD45" s="33">
        <f t="shared" si="45"/>
        <v>0</v>
      </c>
      <c r="BE45" s="33">
        <v>0</v>
      </c>
      <c r="BF45" s="33">
        <f t="shared" si="46"/>
        <v>0</v>
      </c>
      <c r="BH45" s="18">
        <f t="shared" si="47"/>
        <v>0</v>
      </c>
      <c r="BI45" s="18">
        <f t="shared" si="48"/>
        <v>0</v>
      </c>
      <c r="BJ45" s="18">
        <f t="shared" si="49"/>
        <v>0</v>
      </c>
    </row>
    <row r="46" spans="1:62" ht="12.75">
      <c r="A46" s="86" t="s">
        <v>33</v>
      </c>
      <c r="B46" s="86" t="s">
        <v>198</v>
      </c>
      <c r="C46" s="86" t="s">
        <v>228</v>
      </c>
      <c r="D46" s="86" t="s">
        <v>380</v>
      </c>
      <c r="E46" s="86" t="s">
        <v>530</v>
      </c>
      <c r="F46" s="87">
        <v>365.05</v>
      </c>
      <c r="G46" s="87"/>
      <c r="H46" s="87">
        <f t="shared" si="26"/>
        <v>0</v>
      </c>
      <c r="I46" s="87">
        <f t="shared" si="27"/>
        <v>0</v>
      </c>
      <c r="J46" s="87">
        <f t="shared" si="28"/>
        <v>0</v>
      </c>
      <c r="K46" s="88">
        <f>IF(J250=0,0,J46/J250)</f>
        <v>0</v>
      </c>
      <c r="L46" s="87">
        <v>0</v>
      </c>
      <c r="M46" s="87">
        <f t="shared" si="29"/>
        <v>0</v>
      </c>
      <c r="N46" s="89" t="s">
        <v>559</v>
      </c>
      <c r="Z46" s="33">
        <f t="shared" si="30"/>
        <v>0</v>
      </c>
      <c r="AB46" s="33">
        <f t="shared" si="31"/>
        <v>0</v>
      </c>
      <c r="AC46" s="33">
        <f t="shared" si="32"/>
        <v>0</v>
      </c>
      <c r="AD46" s="33">
        <f t="shared" si="33"/>
        <v>0</v>
      </c>
      <c r="AE46" s="33">
        <f t="shared" si="34"/>
        <v>0</v>
      </c>
      <c r="AF46" s="33">
        <f t="shared" si="35"/>
        <v>0</v>
      </c>
      <c r="AG46" s="33">
        <f t="shared" si="36"/>
        <v>0</v>
      </c>
      <c r="AH46" s="33">
        <f t="shared" si="37"/>
        <v>0</v>
      </c>
      <c r="AI46" s="25" t="s">
        <v>198</v>
      </c>
      <c r="AJ46" s="18">
        <f t="shared" si="38"/>
        <v>0</v>
      </c>
      <c r="AK46" s="18">
        <f t="shared" si="39"/>
        <v>0</v>
      </c>
      <c r="AL46" s="18">
        <f t="shared" si="40"/>
        <v>0</v>
      </c>
      <c r="AN46" s="33">
        <v>21</v>
      </c>
      <c r="AO46" s="33">
        <f>G46*0</f>
        <v>0</v>
      </c>
      <c r="AP46" s="33">
        <f>G46*(1-0)</f>
        <v>0</v>
      </c>
      <c r="AQ46" s="30" t="s">
        <v>6</v>
      </c>
      <c r="AV46" s="33">
        <f t="shared" si="41"/>
        <v>0</v>
      </c>
      <c r="AW46" s="33">
        <f t="shared" si="42"/>
        <v>0</v>
      </c>
      <c r="AX46" s="33">
        <f t="shared" si="43"/>
        <v>0</v>
      </c>
      <c r="AY46" s="34" t="s">
        <v>573</v>
      </c>
      <c r="AZ46" s="34" t="s">
        <v>587</v>
      </c>
      <c r="BA46" s="25" t="s">
        <v>601</v>
      </c>
      <c r="BC46" s="33">
        <f t="shared" si="44"/>
        <v>0</v>
      </c>
      <c r="BD46" s="33">
        <f t="shared" si="45"/>
        <v>0</v>
      </c>
      <c r="BE46" s="33">
        <v>0</v>
      </c>
      <c r="BF46" s="33">
        <f t="shared" si="46"/>
        <v>0</v>
      </c>
      <c r="BH46" s="18">
        <f t="shared" si="47"/>
        <v>0</v>
      </c>
      <c r="BI46" s="18">
        <f t="shared" si="48"/>
        <v>0</v>
      </c>
      <c r="BJ46" s="18">
        <f t="shared" si="49"/>
        <v>0</v>
      </c>
    </row>
    <row r="47" spans="1:62" ht="12.75">
      <c r="A47" s="86" t="s">
        <v>34</v>
      </c>
      <c r="B47" s="86" t="s">
        <v>198</v>
      </c>
      <c r="C47" s="86" t="s">
        <v>229</v>
      </c>
      <c r="D47" s="86" t="s">
        <v>381</v>
      </c>
      <c r="E47" s="86" t="s">
        <v>530</v>
      </c>
      <c r="F47" s="87">
        <v>77.5</v>
      </c>
      <c r="G47" s="87"/>
      <c r="H47" s="87">
        <f t="shared" si="26"/>
        <v>0</v>
      </c>
      <c r="I47" s="87">
        <f t="shared" si="27"/>
        <v>0</v>
      </c>
      <c r="J47" s="87">
        <f t="shared" si="28"/>
        <v>0</v>
      </c>
      <c r="K47" s="88">
        <f>IF(J250=0,0,J47/J250)</f>
        <v>0</v>
      </c>
      <c r="L47" s="87">
        <v>0</v>
      </c>
      <c r="M47" s="87">
        <f t="shared" si="29"/>
        <v>0</v>
      </c>
      <c r="N47" s="89" t="s">
        <v>559</v>
      </c>
      <c r="Z47" s="33">
        <f t="shared" si="30"/>
        <v>0</v>
      </c>
      <c r="AB47" s="33">
        <f t="shared" si="31"/>
        <v>0</v>
      </c>
      <c r="AC47" s="33">
        <f t="shared" si="32"/>
        <v>0</v>
      </c>
      <c r="AD47" s="33">
        <f t="shared" si="33"/>
        <v>0</v>
      </c>
      <c r="AE47" s="33">
        <f t="shared" si="34"/>
        <v>0</v>
      </c>
      <c r="AF47" s="33">
        <f t="shared" si="35"/>
        <v>0</v>
      </c>
      <c r="AG47" s="33">
        <f t="shared" si="36"/>
        <v>0</v>
      </c>
      <c r="AH47" s="33">
        <f t="shared" si="37"/>
        <v>0</v>
      </c>
      <c r="AI47" s="25" t="s">
        <v>198</v>
      </c>
      <c r="AJ47" s="18">
        <f t="shared" si="38"/>
        <v>0</v>
      </c>
      <c r="AK47" s="18">
        <f t="shared" si="39"/>
        <v>0</v>
      </c>
      <c r="AL47" s="18">
        <f t="shared" si="40"/>
        <v>0</v>
      </c>
      <c r="AN47" s="33">
        <v>21</v>
      </c>
      <c r="AO47" s="33">
        <f>G47*0</f>
        <v>0</v>
      </c>
      <c r="AP47" s="33">
        <f>G47*(1-0)</f>
        <v>0</v>
      </c>
      <c r="AQ47" s="30" t="s">
        <v>6</v>
      </c>
      <c r="AV47" s="33">
        <f t="shared" si="41"/>
        <v>0</v>
      </c>
      <c r="AW47" s="33">
        <f t="shared" si="42"/>
        <v>0</v>
      </c>
      <c r="AX47" s="33">
        <f t="shared" si="43"/>
        <v>0</v>
      </c>
      <c r="AY47" s="34" t="s">
        <v>573</v>
      </c>
      <c r="AZ47" s="34" t="s">
        <v>587</v>
      </c>
      <c r="BA47" s="25" t="s">
        <v>601</v>
      </c>
      <c r="BC47" s="33">
        <f t="shared" si="44"/>
        <v>0</v>
      </c>
      <c r="BD47" s="33">
        <f t="shared" si="45"/>
        <v>0</v>
      </c>
      <c r="BE47" s="33">
        <v>0</v>
      </c>
      <c r="BF47" s="33">
        <f t="shared" si="46"/>
        <v>0</v>
      </c>
      <c r="BH47" s="18">
        <f t="shared" si="47"/>
        <v>0</v>
      </c>
      <c r="BI47" s="18">
        <f t="shared" si="48"/>
        <v>0</v>
      </c>
      <c r="BJ47" s="18">
        <f t="shared" si="49"/>
        <v>0</v>
      </c>
    </row>
    <row r="48" spans="1:62" ht="12.75">
      <c r="A48" s="86" t="s">
        <v>35</v>
      </c>
      <c r="B48" s="86" t="s">
        <v>198</v>
      </c>
      <c r="C48" s="86" t="s">
        <v>230</v>
      </c>
      <c r="D48" s="86" t="s">
        <v>382</v>
      </c>
      <c r="E48" s="86" t="s">
        <v>526</v>
      </c>
      <c r="F48" s="87">
        <v>31</v>
      </c>
      <c r="G48" s="87"/>
      <c r="H48" s="87">
        <f t="shared" si="26"/>
        <v>0</v>
      </c>
      <c r="I48" s="87">
        <f t="shared" si="27"/>
        <v>0</v>
      </c>
      <c r="J48" s="87">
        <f t="shared" si="28"/>
        <v>0</v>
      </c>
      <c r="K48" s="88">
        <f>IF(J250=0,0,J48/J250)</f>
        <v>0</v>
      </c>
      <c r="L48" s="87">
        <v>0.02478</v>
      </c>
      <c r="M48" s="87">
        <f t="shared" si="29"/>
        <v>0.76818</v>
      </c>
      <c r="N48" s="89" t="s">
        <v>559</v>
      </c>
      <c r="Z48" s="33">
        <f t="shared" si="30"/>
        <v>0</v>
      </c>
      <c r="AB48" s="33">
        <f t="shared" si="31"/>
        <v>0</v>
      </c>
      <c r="AC48" s="33">
        <f t="shared" si="32"/>
        <v>0</v>
      </c>
      <c r="AD48" s="33">
        <f t="shared" si="33"/>
        <v>0</v>
      </c>
      <c r="AE48" s="33">
        <f t="shared" si="34"/>
        <v>0</v>
      </c>
      <c r="AF48" s="33">
        <f t="shared" si="35"/>
        <v>0</v>
      </c>
      <c r="AG48" s="33">
        <f t="shared" si="36"/>
        <v>0</v>
      </c>
      <c r="AH48" s="33">
        <f t="shared" si="37"/>
        <v>0</v>
      </c>
      <c r="AI48" s="25" t="s">
        <v>198</v>
      </c>
      <c r="AJ48" s="18">
        <f t="shared" si="38"/>
        <v>0</v>
      </c>
      <c r="AK48" s="18">
        <f t="shared" si="39"/>
        <v>0</v>
      </c>
      <c r="AL48" s="18">
        <f t="shared" si="40"/>
        <v>0</v>
      </c>
      <c r="AN48" s="33">
        <v>21</v>
      </c>
      <c r="AO48" s="33">
        <f>G48*0.290787671232877</f>
        <v>0</v>
      </c>
      <c r="AP48" s="33">
        <f>G48*(1-0.290787671232877)</f>
        <v>0</v>
      </c>
      <c r="AQ48" s="30" t="s">
        <v>6</v>
      </c>
      <c r="AV48" s="33">
        <f t="shared" si="41"/>
        <v>0</v>
      </c>
      <c r="AW48" s="33">
        <f t="shared" si="42"/>
        <v>0</v>
      </c>
      <c r="AX48" s="33">
        <f t="shared" si="43"/>
        <v>0</v>
      </c>
      <c r="AY48" s="34" t="s">
        <v>573</v>
      </c>
      <c r="AZ48" s="34" t="s">
        <v>587</v>
      </c>
      <c r="BA48" s="25" t="s">
        <v>601</v>
      </c>
      <c r="BC48" s="33">
        <f t="shared" si="44"/>
        <v>0</v>
      </c>
      <c r="BD48" s="33">
        <f t="shared" si="45"/>
        <v>0</v>
      </c>
      <c r="BE48" s="33">
        <v>0</v>
      </c>
      <c r="BF48" s="33">
        <f t="shared" si="46"/>
        <v>0.76818</v>
      </c>
      <c r="BH48" s="18">
        <f t="shared" si="47"/>
        <v>0</v>
      </c>
      <c r="BI48" s="18">
        <f t="shared" si="48"/>
        <v>0</v>
      </c>
      <c r="BJ48" s="18">
        <f t="shared" si="49"/>
        <v>0</v>
      </c>
    </row>
    <row r="49" spans="1:62" ht="12.75">
      <c r="A49" s="86" t="s">
        <v>36</v>
      </c>
      <c r="B49" s="86" t="s">
        <v>198</v>
      </c>
      <c r="C49" s="86" t="s">
        <v>231</v>
      </c>
      <c r="D49" s="86" t="s">
        <v>383</v>
      </c>
      <c r="E49" s="86" t="s">
        <v>526</v>
      </c>
      <c r="F49" s="87">
        <v>20</v>
      </c>
      <c r="G49" s="87"/>
      <c r="H49" s="87">
        <f t="shared" si="26"/>
        <v>0</v>
      </c>
      <c r="I49" s="87">
        <f t="shared" si="27"/>
        <v>0</v>
      </c>
      <c r="J49" s="87">
        <f t="shared" si="28"/>
        <v>0</v>
      </c>
      <c r="K49" s="88">
        <f>IF(J250=0,0,J49/J250)</f>
        <v>0</v>
      </c>
      <c r="L49" s="87">
        <v>0.01271</v>
      </c>
      <c r="M49" s="87">
        <f t="shared" si="29"/>
        <v>0.25420000000000004</v>
      </c>
      <c r="N49" s="89" t="s">
        <v>559</v>
      </c>
      <c r="Z49" s="33">
        <f t="shared" si="30"/>
        <v>0</v>
      </c>
      <c r="AB49" s="33">
        <f t="shared" si="31"/>
        <v>0</v>
      </c>
      <c r="AC49" s="33">
        <f t="shared" si="32"/>
        <v>0</v>
      </c>
      <c r="AD49" s="33">
        <f t="shared" si="33"/>
        <v>0</v>
      </c>
      <c r="AE49" s="33">
        <f t="shared" si="34"/>
        <v>0</v>
      </c>
      <c r="AF49" s="33">
        <f t="shared" si="35"/>
        <v>0</v>
      </c>
      <c r="AG49" s="33">
        <f t="shared" si="36"/>
        <v>0</v>
      </c>
      <c r="AH49" s="33">
        <f t="shared" si="37"/>
        <v>0</v>
      </c>
      <c r="AI49" s="25" t="s">
        <v>198</v>
      </c>
      <c r="AJ49" s="18">
        <f t="shared" si="38"/>
        <v>0</v>
      </c>
      <c r="AK49" s="18">
        <f t="shared" si="39"/>
        <v>0</v>
      </c>
      <c r="AL49" s="18">
        <f t="shared" si="40"/>
        <v>0</v>
      </c>
      <c r="AN49" s="33">
        <v>21</v>
      </c>
      <c r="AO49" s="33">
        <f>G49*0.257133220910624</f>
        <v>0</v>
      </c>
      <c r="AP49" s="33">
        <f>G49*(1-0.257133220910624)</f>
        <v>0</v>
      </c>
      <c r="AQ49" s="30" t="s">
        <v>6</v>
      </c>
      <c r="AV49" s="33">
        <f t="shared" si="41"/>
        <v>0</v>
      </c>
      <c r="AW49" s="33">
        <f t="shared" si="42"/>
        <v>0</v>
      </c>
      <c r="AX49" s="33">
        <f t="shared" si="43"/>
        <v>0</v>
      </c>
      <c r="AY49" s="34" t="s">
        <v>573</v>
      </c>
      <c r="AZ49" s="34" t="s">
        <v>587</v>
      </c>
      <c r="BA49" s="25" t="s">
        <v>601</v>
      </c>
      <c r="BC49" s="33">
        <f t="shared" si="44"/>
        <v>0</v>
      </c>
      <c r="BD49" s="33">
        <f t="shared" si="45"/>
        <v>0</v>
      </c>
      <c r="BE49" s="33">
        <v>0</v>
      </c>
      <c r="BF49" s="33">
        <f t="shared" si="46"/>
        <v>0.25420000000000004</v>
      </c>
      <c r="BH49" s="18">
        <f t="shared" si="47"/>
        <v>0</v>
      </c>
      <c r="BI49" s="18">
        <f t="shared" si="48"/>
        <v>0</v>
      </c>
      <c r="BJ49" s="18">
        <f t="shared" si="49"/>
        <v>0</v>
      </c>
    </row>
    <row r="50" spans="1:62" ht="12.75">
      <c r="A50" s="86" t="s">
        <v>37</v>
      </c>
      <c r="B50" s="86" t="s">
        <v>198</v>
      </c>
      <c r="C50" s="86" t="s">
        <v>232</v>
      </c>
      <c r="D50" s="86" t="s">
        <v>384</v>
      </c>
      <c r="E50" s="86" t="s">
        <v>526</v>
      </c>
      <c r="F50" s="87">
        <v>20</v>
      </c>
      <c r="G50" s="87"/>
      <c r="H50" s="87">
        <f t="shared" si="26"/>
        <v>0</v>
      </c>
      <c r="I50" s="87">
        <f t="shared" si="27"/>
        <v>0</v>
      </c>
      <c r="J50" s="87">
        <f t="shared" si="28"/>
        <v>0</v>
      </c>
      <c r="K50" s="88">
        <f>IF(J250=0,0,J50/J250)</f>
        <v>0</v>
      </c>
      <c r="L50" s="87">
        <v>0.0107</v>
      </c>
      <c r="M50" s="87">
        <f t="shared" si="29"/>
        <v>0.214</v>
      </c>
      <c r="N50" s="89" t="s">
        <v>559</v>
      </c>
      <c r="Z50" s="33">
        <f t="shared" si="30"/>
        <v>0</v>
      </c>
      <c r="AB50" s="33">
        <f t="shared" si="31"/>
        <v>0</v>
      </c>
      <c r="AC50" s="33">
        <f t="shared" si="32"/>
        <v>0</v>
      </c>
      <c r="AD50" s="33">
        <f t="shared" si="33"/>
        <v>0</v>
      </c>
      <c r="AE50" s="33">
        <f t="shared" si="34"/>
        <v>0</v>
      </c>
      <c r="AF50" s="33">
        <f t="shared" si="35"/>
        <v>0</v>
      </c>
      <c r="AG50" s="33">
        <f t="shared" si="36"/>
        <v>0</v>
      </c>
      <c r="AH50" s="33">
        <f t="shared" si="37"/>
        <v>0</v>
      </c>
      <c r="AI50" s="25" t="s">
        <v>198</v>
      </c>
      <c r="AJ50" s="18">
        <f t="shared" si="38"/>
        <v>0</v>
      </c>
      <c r="AK50" s="18">
        <f t="shared" si="39"/>
        <v>0</v>
      </c>
      <c r="AL50" s="18">
        <f t="shared" si="40"/>
        <v>0</v>
      </c>
      <c r="AN50" s="33">
        <v>21</v>
      </c>
      <c r="AO50" s="33">
        <f>G50*0.270031612223393</f>
        <v>0</v>
      </c>
      <c r="AP50" s="33">
        <f>G50*(1-0.270031612223393)</f>
        <v>0</v>
      </c>
      <c r="AQ50" s="30" t="s">
        <v>6</v>
      </c>
      <c r="AV50" s="33">
        <f t="shared" si="41"/>
        <v>0</v>
      </c>
      <c r="AW50" s="33">
        <f t="shared" si="42"/>
        <v>0</v>
      </c>
      <c r="AX50" s="33">
        <f t="shared" si="43"/>
        <v>0</v>
      </c>
      <c r="AY50" s="34" t="s">
        <v>573</v>
      </c>
      <c r="AZ50" s="34" t="s">
        <v>587</v>
      </c>
      <c r="BA50" s="25" t="s">
        <v>601</v>
      </c>
      <c r="BC50" s="33">
        <f t="shared" si="44"/>
        <v>0</v>
      </c>
      <c r="BD50" s="33">
        <f t="shared" si="45"/>
        <v>0</v>
      </c>
      <c r="BE50" s="33">
        <v>0</v>
      </c>
      <c r="BF50" s="33">
        <f t="shared" si="46"/>
        <v>0.214</v>
      </c>
      <c r="BH50" s="18">
        <f t="shared" si="47"/>
        <v>0</v>
      </c>
      <c r="BI50" s="18">
        <f t="shared" si="48"/>
        <v>0</v>
      </c>
      <c r="BJ50" s="18">
        <f t="shared" si="49"/>
        <v>0</v>
      </c>
    </row>
    <row r="51" spans="1:62" ht="12.75">
      <c r="A51" s="86" t="s">
        <v>38</v>
      </c>
      <c r="B51" s="86" t="s">
        <v>198</v>
      </c>
      <c r="C51" s="86" t="s">
        <v>233</v>
      </c>
      <c r="D51" s="86" t="s">
        <v>385</v>
      </c>
      <c r="E51" s="86" t="s">
        <v>531</v>
      </c>
      <c r="F51" s="87">
        <v>22.7375</v>
      </c>
      <c r="G51" s="87"/>
      <c r="H51" s="87">
        <f t="shared" si="26"/>
        <v>0</v>
      </c>
      <c r="I51" s="87">
        <f t="shared" si="27"/>
        <v>0</v>
      </c>
      <c r="J51" s="87">
        <f t="shared" si="28"/>
        <v>0</v>
      </c>
      <c r="K51" s="88">
        <f>IF(J250=0,0,J51/J250)</f>
        <v>0</v>
      </c>
      <c r="L51" s="87">
        <v>0</v>
      </c>
      <c r="M51" s="87">
        <f t="shared" si="29"/>
        <v>0</v>
      </c>
      <c r="N51" s="89" t="s">
        <v>559</v>
      </c>
      <c r="Z51" s="33">
        <f t="shared" si="30"/>
        <v>0</v>
      </c>
      <c r="AB51" s="33">
        <f t="shared" si="31"/>
        <v>0</v>
      </c>
      <c r="AC51" s="33">
        <f t="shared" si="32"/>
        <v>0</v>
      </c>
      <c r="AD51" s="33">
        <f t="shared" si="33"/>
        <v>0</v>
      </c>
      <c r="AE51" s="33">
        <f t="shared" si="34"/>
        <v>0</v>
      </c>
      <c r="AF51" s="33">
        <f t="shared" si="35"/>
        <v>0</v>
      </c>
      <c r="AG51" s="33">
        <f t="shared" si="36"/>
        <v>0</v>
      </c>
      <c r="AH51" s="33">
        <f t="shared" si="37"/>
        <v>0</v>
      </c>
      <c r="AI51" s="25" t="s">
        <v>198</v>
      </c>
      <c r="AJ51" s="18">
        <f t="shared" si="38"/>
        <v>0</v>
      </c>
      <c r="AK51" s="18">
        <f t="shared" si="39"/>
        <v>0</v>
      </c>
      <c r="AL51" s="18">
        <f t="shared" si="40"/>
        <v>0</v>
      </c>
      <c r="AN51" s="33">
        <v>21</v>
      </c>
      <c r="AO51" s="33">
        <f>G51*0</f>
        <v>0</v>
      </c>
      <c r="AP51" s="33">
        <f>G51*(1-0)</f>
        <v>0</v>
      </c>
      <c r="AQ51" s="30" t="s">
        <v>6</v>
      </c>
      <c r="AV51" s="33">
        <f t="shared" si="41"/>
        <v>0</v>
      </c>
      <c r="AW51" s="33">
        <f t="shared" si="42"/>
        <v>0</v>
      </c>
      <c r="AX51" s="33">
        <f t="shared" si="43"/>
        <v>0</v>
      </c>
      <c r="AY51" s="34" t="s">
        <v>573</v>
      </c>
      <c r="AZ51" s="34" t="s">
        <v>587</v>
      </c>
      <c r="BA51" s="25" t="s">
        <v>601</v>
      </c>
      <c r="BC51" s="33">
        <f t="shared" si="44"/>
        <v>0</v>
      </c>
      <c r="BD51" s="33">
        <f t="shared" si="45"/>
        <v>0</v>
      </c>
      <c r="BE51" s="33">
        <v>0</v>
      </c>
      <c r="BF51" s="33">
        <f t="shared" si="46"/>
        <v>0</v>
      </c>
      <c r="BH51" s="18">
        <f t="shared" si="47"/>
        <v>0</v>
      </c>
      <c r="BI51" s="18">
        <f t="shared" si="48"/>
        <v>0</v>
      </c>
      <c r="BJ51" s="18">
        <f t="shared" si="49"/>
        <v>0</v>
      </c>
    </row>
    <row r="52" spans="1:62" ht="12.75">
      <c r="A52" s="86" t="s">
        <v>39</v>
      </c>
      <c r="B52" s="86" t="s">
        <v>198</v>
      </c>
      <c r="C52" s="86" t="s">
        <v>234</v>
      </c>
      <c r="D52" s="86" t="s">
        <v>386</v>
      </c>
      <c r="E52" s="86" t="s">
        <v>532</v>
      </c>
      <c r="F52" s="87">
        <v>181.9</v>
      </c>
      <c r="G52" s="87"/>
      <c r="H52" s="87">
        <f t="shared" si="26"/>
        <v>0</v>
      </c>
      <c r="I52" s="87">
        <f t="shared" si="27"/>
        <v>0</v>
      </c>
      <c r="J52" s="87">
        <f t="shared" si="28"/>
        <v>0</v>
      </c>
      <c r="K52" s="88">
        <f>IF(J250=0,0,J52/J250)</f>
        <v>0</v>
      </c>
      <c r="L52" s="87">
        <v>0</v>
      </c>
      <c r="M52" s="87">
        <f t="shared" si="29"/>
        <v>0</v>
      </c>
      <c r="N52" s="89" t="s">
        <v>559</v>
      </c>
      <c r="Z52" s="33">
        <f t="shared" si="30"/>
        <v>0</v>
      </c>
      <c r="AB52" s="33">
        <f t="shared" si="31"/>
        <v>0</v>
      </c>
      <c r="AC52" s="33">
        <f t="shared" si="32"/>
        <v>0</v>
      </c>
      <c r="AD52" s="33">
        <f t="shared" si="33"/>
        <v>0</v>
      </c>
      <c r="AE52" s="33">
        <f t="shared" si="34"/>
        <v>0</v>
      </c>
      <c r="AF52" s="33">
        <f t="shared" si="35"/>
        <v>0</v>
      </c>
      <c r="AG52" s="33">
        <f t="shared" si="36"/>
        <v>0</v>
      </c>
      <c r="AH52" s="33">
        <f t="shared" si="37"/>
        <v>0</v>
      </c>
      <c r="AI52" s="25" t="s">
        <v>198</v>
      </c>
      <c r="AJ52" s="18">
        <f t="shared" si="38"/>
        <v>0</v>
      </c>
      <c r="AK52" s="18">
        <f t="shared" si="39"/>
        <v>0</v>
      </c>
      <c r="AL52" s="18">
        <f t="shared" si="40"/>
        <v>0</v>
      </c>
      <c r="AN52" s="33">
        <v>21</v>
      </c>
      <c r="AO52" s="33">
        <f>G52*0</f>
        <v>0</v>
      </c>
      <c r="AP52" s="33">
        <f>G52*(1-0)</f>
        <v>0</v>
      </c>
      <c r="AQ52" s="30" t="s">
        <v>6</v>
      </c>
      <c r="AV52" s="33">
        <f t="shared" si="41"/>
        <v>0</v>
      </c>
      <c r="AW52" s="33">
        <f t="shared" si="42"/>
        <v>0</v>
      </c>
      <c r="AX52" s="33">
        <f t="shared" si="43"/>
        <v>0</v>
      </c>
      <c r="AY52" s="34" t="s">
        <v>573</v>
      </c>
      <c r="AZ52" s="34" t="s">
        <v>587</v>
      </c>
      <c r="BA52" s="25" t="s">
        <v>601</v>
      </c>
      <c r="BC52" s="33">
        <f t="shared" si="44"/>
        <v>0</v>
      </c>
      <c r="BD52" s="33">
        <f t="shared" si="45"/>
        <v>0</v>
      </c>
      <c r="BE52" s="33">
        <v>0</v>
      </c>
      <c r="BF52" s="33">
        <f t="shared" si="46"/>
        <v>0</v>
      </c>
      <c r="BH52" s="18">
        <f t="shared" si="47"/>
        <v>0</v>
      </c>
      <c r="BI52" s="18">
        <f t="shared" si="48"/>
        <v>0</v>
      </c>
      <c r="BJ52" s="18">
        <f t="shared" si="49"/>
        <v>0</v>
      </c>
    </row>
    <row r="53" spans="1:47" ht="12.75">
      <c r="A53" s="90"/>
      <c r="B53" s="91" t="s">
        <v>198</v>
      </c>
      <c r="C53" s="91" t="s">
        <v>8</v>
      </c>
      <c r="D53" s="91" t="s">
        <v>387</v>
      </c>
      <c r="E53" s="90" t="s">
        <v>5</v>
      </c>
      <c r="F53" s="90" t="s">
        <v>5</v>
      </c>
      <c r="G53" s="90"/>
      <c r="H53" s="92">
        <f>SUM(H54:H92)</f>
        <v>0</v>
      </c>
      <c r="I53" s="92">
        <f>SUM(I54:I92)</f>
        <v>0</v>
      </c>
      <c r="J53" s="92">
        <f>SUM(J54:J92)</f>
        <v>0</v>
      </c>
      <c r="K53" s="93">
        <f>IF(J250=0,0,J53/J250)</f>
        <v>0</v>
      </c>
      <c r="L53" s="94"/>
      <c r="M53" s="92">
        <f>SUM(M54:M92)</f>
        <v>581.7661265199998</v>
      </c>
      <c r="N53" s="94"/>
      <c r="AI53" s="25" t="s">
        <v>198</v>
      </c>
      <c r="AS53" s="36">
        <f>SUM(AJ54:AJ92)</f>
        <v>0</v>
      </c>
      <c r="AT53" s="36">
        <f>SUM(AK54:AK92)</f>
        <v>0</v>
      </c>
      <c r="AU53" s="36">
        <f>SUM(AL54:AL92)</f>
        <v>0</v>
      </c>
    </row>
    <row r="54" spans="1:62" ht="12.75">
      <c r="A54" s="86" t="s">
        <v>40</v>
      </c>
      <c r="B54" s="86" t="s">
        <v>198</v>
      </c>
      <c r="C54" s="86" t="s">
        <v>235</v>
      </c>
      <c r="D54" s="86" t="s">
        <v>388</v>
      </c>
      <c r="E54" s="86" t="s">
        <v>526</v>
      </c>
      <c r="F54" s="87">
        <v>247.4</v>
      </c>
      <c r="G54" s="87"/>
      <c r="H54" s="87">
        <f aca="true" t="shared" si="50" ref="H54:H76">F54*AO54</f>
        <v>0</v>
      </c>
      <c r="I54" s="87">
        <f aca="true" t="shared" si="51" ref="I54:I76">F54*AP54</f>
        <v>0</v>
      </c>
      <c r="J54" s="87">
        <f aca="true" t="shared" si="52" ref="J54:J76">F54*G54</f>
        <v>0</v>
      </c>
      <c r="K54" s="88">
        <f>IF(J250=0,0,J54/J250)</f>
        <v>0</v>
      </c>
      <c r="L54" s="87">
        <v>0.01492</v>
      </c>
      <c r="M54" s="87">
        <f aca="true" t="shared" si="53" ref="M54:M76">F54*L54</f>
        <v>3.691208</v>
      </c>
      <c r="N54" s="89" t="s">
        <v>559</v>
      </c>
      <c r="Z54" s="33">
        <f aca="true" t="shared" si="54" ref="Z54:Z76">IF(AQ54="5",BJ54,0)</f>
        <v>0</v>
      </c>
      <c r="AB54" s="33">
        <f aca="true" t="shared" si="55" ref="AB54:AB76">IF(AQ54="1",BH54,0)</f>
        <v>0</v>
      </c>
      <c r="AC54" s="33">
        <f aca="true" t="shared" si="56" ref="AC54:AC76">IF(AQ54="1",BI54,0)</f>
        <v>0</v>
      </c>
      <c r="AD54" s="33">
        <f aca="true" t="shared" si="57" ref="AD54:AD76">IF(AQ54="7",BH54,0)</f>
        <v>0</v>
      </c>
      <c r="AE54" s="33">
        <f aca="true" t="shared" si="58" ref="AE54:AE76">IF(AQ54="7",BI54,0)</f>
        <v>0</v>
      </c>
      <c r="AF54" s="33">
        <f aca="true" t="shared" si="59" ref="AF54:AF76">IF(AQ54="2",BH54,0)</f>
        <v>0</v>
      </c>
      <c r="AG54" s="33">
        <f aca="true" t="shared" si="60" ref="AG54:AG76">IF(AQ54="2",BI54,0)</f>
        <v>0</v>
      </c>
      <c r="AH54" s="33">
        <f aca="true" t="shared" si="61" ref="AH54:AH76">IF(AQ54="0",BJ54,0)</f>
        <v>0</v>
      </c>
      <c r="AI54" s="25" t="s">
        <v>198</v>
      </c>
      <c r="AJ54" s="18">
        <f aca="true" t="shared" si="62" ref="AJ54:AJ76">IF(AN54=0,J54,0)</f>
        <v>0</v>
      </c>
      <c r="AK54" s="18">
        <f aca="true" t="shared" si="63" ref="AK54:AK76">IF(AN54=15,J54,0)</f>
        <v>0</v>
      </c>
      <c r="AL54" s="18">
        <f aca="true" t="shared" si="64" ref="AL54:AL76">IF(AN54=21,J54,0)</f>
        <v>0</v>
      </c>
      <c r="AN54" s="33">
        <v>21</v>
      </c>
      <c r="AO54" s="33">
        <f>G54*0</f>
        <v>0</v>
      </c>
      <c r="AP54" s="33">
        <f>G54*(1-0)</f>
        <v>0</v>
      </c>
      <c r="AQ54" s="30" t="s">
        <v>6</v>
      </c>
      <c r="AV54" s="33">
        <f aca="true" t="shared" si="65" ref="AV54:AV76">AW54+AX54</f>
        <v>0</v>
      </c>
      <c r="AW54" s="33">
        <f aca="true" t="shared" si="66" ref="AW54:AW76">F54*AO54</f>
        <v>0</v>
      </c>
      <c r="AX54" s="33">
        <f aca="true" t="shared" si="67" ref="AX54:AX76">F54*AP54</f>
        <v>0</v>
      </c>
      <c r="AY54" s="34" t="s">
        <v>574</v>
      </c>
      <c r="AZ54" s="34" t="s">
        <v>588</v>
      </c>
      <c r="BA54" s="25" t="s">
        <v>601</v>
      </c>
      <c r="BC54" s="33">
        <f aca="true" t="shared" si="68" ref="BC54:BC76">AW54+AX54</f>
        <v>0</v>
      </c>
      <c r="BD54" s="33">
        <f aca="true" t="shared" si="69" ref="BD54:BD76">G54/(100-BE54)*100</f>
        <v>0</v>
      </c>
      <c r="BE54" s="33">
        <v>0</v>
      </c>
      <c r="BF54" s="33">
        <f aca="true" t="shared" si="70" ref="BF54:BF76">M54</f>
        <v>3.691208</v>
      </c>
      <c r="BH54" s="18">
        <f aca="true" t="shared" si="71" ref="BH54:BH76">F54*AO54</f>
        <v>0</v>
      </c>
      <c r="BI54" s="18">
        <f aca="true" t="shared" si="72" ref="BI54:BI76">F54*AP54</f>
        <v>0</v>
      </c>
      <c r="BJ54" s="18">
        <f aca="true" t="shared" si="73" ref="BJ54:BJ76">F54*G54</f>
        <v>0</v>
      </c>
    </row>
    <row r="55" spans="1:62" ht="12.75">
      <c r="A55" s="82" t="s">
        <v>41</v>
      </c>
      <c r="B55" s="82" t="s">
        <v>198</v>
      </c>
      <c r="C55" s="82" t="s">
        <v>236</v>
      </c>
      <c r="D55" s="82" t="s">
        <v>389</v>
      </c>
      <c r="E55" s="82" t="s">
        <v>526</v>
      </c>
      <c r="F55" s="83">
        <v>254.822</v>
      </c>
      <c r="G55" s="83"/>
      <c r="H55" s="83">
        <f t="shared" si="50"/>
        <v>0</v>
      </c>
      <c r="I55" s="83">
        <f t="shared" si="51"/>
        <v>0</v>
      </c>
      <c r="J55" s="83">
        <f t="shared" si="52"/>
        <v>0</v>
      </c>
      <c r="K55" s="84">
        <f>IF(J250=0,0,J55/J250)</f>
        <v>0</v>
      </c>
      <c r="L55" s="83">
        <v>0.00146</v>
      </c>
      <c r="M55" s="83">
        <f t="shared" si="53"/>
        <v>0.37204012</v>
      </c>
      <c r="N55" s="85" t="s">
        <v>559</v>
      </c>
      <c r="Z55" s="33">
        <f t="shared" si="54"/>
        <v>0</v>
      </c>
      <c r="AB55" s="33">
        <f t="shared" si="55"/>
        <v>0</v>
      </c>
      <c r="AC55" s="33">
        <f t="shared" si="56"/>
        <v>0</v>
      </c>
      <c r="AD55" s="33">
        <f t="shared" si="57"/>
        <v>0</v>
      </c>
      <c r="AE55" s="33">
        <f t="shared" si="58"/>
        <v>0</v>
      </c>
      <c r="AF55" s="33">
        <f t="shared" si="59"/>
        <v>0</v>
      </c>
      <c r="AG55" s="33">
        <f t="shared" si="60"/>
        <v>0</v>
      </c>
      <c r="AH55" s="33">
        <f t="shared" si="61"/>
        <v>0</v>
      </c>
      <c r="AI55" s="25" t="s">
        <v>198</v>
      </c>
      <c r="AJ55" s="17">
        <f t="shared" si="62"/>
        <v>0</v>
      </c>
      <c r="AK55" s="17">
        <f t="shared" si="63"/>
        <v>0</v>
      </c>
      <c r="AL55" s="17">
        <f t="shared" si="64"/>
        <v>0</v>
      </c>
      <c r="AN55" s="33">
        <v>21</v>
      </c>
      <c r="AO55" s="33">
        <f>G55*1</f>
        <v>0</v>
      </c>
      <c r="AP55" s="33">
        <f>G55*(1-1)</f>
        <v>0</v>
      </c>
      <c r="AQ55" s="29" t="s">
        <v>6</v>
      </c>
      <c r="AV55" s="33">
        <f t="shared" si="65"/>
        <v>0</v>
      </c>
      <c r="AW55" s="33">
        <f t="shared" si="66"/>
        <v>0</v>
      </c>
      <c r="AX55" s="33">
        <f t="shared" si="67"/>
        <v>0</v>
      </c>
      <c r="AY55" s="34" t="s">
        <v>574</v>
      </c>
      <c r="AZ55" s="34" t="s">
        <v>588</v>
      </c>
      <c r="BA55" s="25" t="s">
        <v>601</v>
      </c>
      <c r="BC55" s="33">
        <f t="shared" si="68"/>
        <v>0</v>
      </c>
      <c r="BD55" s="33">
        <f t="shared" si="69"/>
        <v>0</v>
      </c>
      <c r="BE55" s="33">
        <v>0</v>
      </c>
      <c r="BF55" s="33">
        <f t="shared" si="70"/>
        <v>0.37204012</v>
      </c>
      <c r="BH55" s="17">
        <f t="shared" si="71"/>
        <v>0</v>
      </c>
      <c r="BI55" s="17">
        <f t="shared" si="72"/>
        <v>0</v>
      </c>
      <c r="BJ55" s="17">
        <f t="shared" si="73"/>
        <v>0</v>
      </c>
    </row>
    <row r="56" spans="1:62" ht="12.75">
      <c r="A56" s="86" t="s">
        <v>42</v>
      </c>
      <c r="B56" s="86" t="s">
        <v>198</v>
      </c>
      <c r="C56" s="86" t="s">
        <v>237</v>
      </c>
      <c r="D56" s="86" t="s">
        <v>390</v>
      </c>
      <c r="E56" s="86" t="s">
        <v>526</v>
      </c>
      <c r="F56" s="87">
        <v>247.4</v>
      </c>
      <c r="G56" s="87"/>
      <c r="H56" s="87">
        <f t="shared" si="50"/>
        <v>0</v>
      </c>
      <c r="I56" s="87">
        <f t="shared" si="51"/>
        <v>0</v>
      </c>
      <c r="J56" s="87">
        <f t="shared" si="52"/>
        <v>0</v>
      </c>
      <c r="K56" s="88">
        <f>IF(J250=0,0,J56/J250)</f>
        <v>0</v>
      </c>
      <c r="L56" s="87">
        <v>0</v>
      </c>
      <c r="M56" s="87">
        <f t="shared" si="53"/>
        <v>0</v>
      </c>
      <c r="N56" s="89" t="s">
        <v>559</v>
      </c>
      <c r="Z56" s="33">
        <f t="shared" si="54"/>
        <v>0</v>
      </c>
      <c r="AB56" s="33">
        <f t="shared" si="55"/>
        <v>0</v>
      </c>
      <c r="AC56" s="33">
        <f t="shared" si="56"/>
        <v>0</v>
      </c>
      <c r="AD56" s="33">
        <f t="shared" si="57"/>
        <v>0</v>
      </c>
      <c r="AE56" s="33">
        <f t="shared" si="58"/>
        <v>0</v>
      </c>
      <c r="AF56" s="33">
        <f t="shared" si="59"/>
        <v>0</v>
      </c>
      <c r="AG56" s="33">
        <f t="shared" si="60"/>
        <v>0</v>
      </c>
      <c r="AH56" s="33">
        <f t="shared" si="61"/>
        <v>0</v>
      </c>
      <c r="AI56" s="25" t="s">
        <v>198</v>
      </c>
      <c r="AJ56" s="18">
        <f t="shared" si="62"/>
        <v>0</v>
      </c>
      <c r="AK56" s="18">
        <f t="shared" si="63"/>
        <v>0</v>
      </c>
      <c r="AL56" s="18">
        <f t="shared" si="64"/>
        <v>0</v>
      </c>
      <c r="AN56" s="33">
        <v>21</v>
      </c>
      <c r="AO56" s="33">
        <f>G56*0</f>
        <v>0</v>
      </c>
      <c r="AP56" s="33">
        <f>G56*(1-0)</f>
        <v>0</v>
      </c>
      <c r="AQ56" s="30" t="s">
        <v>6</v>
      </c>
      <c r="AV56" s="33">
        <f t="shared" si="65"/>
        <v>0</v>
      </c>
      <c r="AW56" s="33">
        <f t="shared" si="66"/>
        <v>0</v>
      </c>
      <c r="AX56" s="33">
        <f t="shared" si="67"/>
        <v>0</v>
      </c>
      <c r="AY56" s="34" t="s">
        <v>574</v>
      </c>
      <c r="AZ56" s="34" t="s">
        <v>588</v>
      </c>
      <c r="BA56" s="25" t="s">
        <v>601</v>
      </c>
      <c r="BC56" s="33">
        <f t="shared" si="68"/>
        <v>0</v>
      </c>
      <c r="BD56" s="33">
        <f t="shared" si="69"/>
        <v>0</v>
      </c>
      <c r="BE56" s="33">
        <v>0</v>
      </c>
      <c r="BF56" s="33">
        <f t="shared" si="70"/>
        <v>0</v>
      </c>
      <c r="BH56" s="18">
        <f t="shared" si="71"/>
        <v>0</v>
      </c>
      <c r="BI56" s="18">
        <f t="shared" si="72"/>
        <v>0</v>
      </c>
      <c r="BJ56" s="18">
        <f t="shared" si="73"/>
        <v>0</v>
      </c>
    </row>
    <row r="57" spans="1:62" ht="12.75">
      <c r="A57" s="86" t="s">
        <v>43</v>
      </c>
      <c r="B57" s="86" t="s">
        <v>198</v>
      </c>
      <c r="C57" s="86" t="s">
        <v>238</v>
      </c>
      <c r="D57" s="86" t="s">
        <v>391</v>
      </c>
      <c r="E57" s="86" t="s">
        <v>526</v>
      </c>
      <c r="F57" s="87">
        <v>259</v>
      </c>
      <c r="G57" s="87"/>
      <c r="H57" s="87">
        <f t="shared" si="50"/>
        <v>0</v>
      </c>
      <c r="I57" s="87">
        <f t="shared" si="51"/>
        <v>0</v>
      </c>
      <c r="J57" s="87">
        <f t="shared" si="52"/>
        <v>0</v>
      </c>
      <c r="K57" s="88">
        <f>IF(J250=0,0,J57/J250)</f>
        <v>0</v>
      </c>
      <c r="L57" s="87">
        <v>5E-05</v>
      </c>
      <c r="M57" s="87">
        <f t="shared" si="53"/>
        <v>0.012950000000000001</v>
      </c>
      <c r="N57" s="89" t="s">
        <v>559</v>
      </c>
      <c r="Z57" s="33">
        <f t="shared" si="54"/>
        <v>0</v>
      </c>
      <c r="AB57" s="33">
        <f t="shared" si="55"/>
        <v>0</v>
      </c>
      <c r="AC57" s="33">
        <f t="shared" si="56"/>
        <v>0</v>
      </c>
      <c r="AD57" s="33">
        <f t="shared" si="57"/>
        <v>0</v>
      </c>
      <c r="AE57" s="33">
        <f t="shared" si="58"/>
        <v>0</v>
      </c>
      <c r="AF57" s="33">
        <f t="shared" si="59"/>
        <v>0</v>
      </c>
      <c r="AG57" s="33">
        <f t="shared" si="60"/>
        <v>0</v>
      </c>
      <c r="AH57" s="33">
        <f t="shared" si="61"/>
        <v>0</v>
      </c>
      <c r="AI57" s="25" t="s">
        <v>198</v>
      </c>
      <c r="AJ57" s="18">
        <f t="shared" si="62"/>
        <v>0</v>
      </c>
      <c r="AK57" s="18">
        <f t="shared" si="63"/>
        <v>0</v>
      </c>
      <c r="AL57" s="18">
        <f t="shared" si="64"/>
        <v>0</v>
      </c>
      <c r="AN57" s="33">
        <v>21</v>
      </c>
      <c r="AO57" s="33">
        <f>G57*0.423215004574565</f>
        <v>0</v>
      </c>
      <c r="AP57" s="33">
        <f>G57*(1-0.423215004574565)</f>
        <v>0</v>
      </c>
      <c r="AQ57" s="30" t="s">
        <v>6</v>
      </c>
      <c r="AV57" s="33">
        <f t="shared" si="65"/>
        <v>0</v>
      </c>
      <c r="AW57" s="33">
        <f t="shared" si="66"/>
        <v>0</v>
      </c>
      <c r="AX57" s="33">
        <f t="shared" si="67"/>
        <v>0</v>
      </c>
      <c r="AY57" s="34" t="s">
        <v>574</v>
      </c>
      <c r="AZ57" s="34" t="s">
        <v>588</v>
      </c>
      <c r="BA57" s="25" t="s">
        <v>601</v>
      </c>
      <c r="BC57" s="33">
        <f t="shared" si="68"/>
        <v>0</v>
      </c>
      <c r="BD57" s="33">
        <f t="shared" si="69"/>
        <v>0</v>
      </c>
      <c r="BE57" s="33">
        <v>0</v>
      </c>
      <c r="BF57" s="33">
        <f t="shared" si="70"/>
        <v>0.012950000000000001</v>
      </c>
      <c r="BH57" s="18">
        <f t="shared" si="71"/>
        <v>0</v>
      </c>
      <c r="BI57" s="18">
        <f t="shared" si="72"/>
        <v>0</v>
      </c>
      <c r="BJ57" s="18">
        <f t="shared" si="73"/>
        <v>0</v>
      </c>
    </row>
    <row r="58" spans="1:62" ht="12.75">
      <c r="A58" s="82" t="s">
        <v>44</v>
      </c>
      <c r="B58" s="82" t="s">
        <v>198</v>
      </c>
      <c r="C58" s="82" t="s">
        <v>239</v>
      </c>
      <c r="D58" s="82" t="s">
        <v>392</v>
      </c>
      <c r="E58" s="82" t="s">
        <v>526</v>
      </c>
      <c r="F58" s="83">
        <v>266.77</v>
      </c>
      <c r="G58" s="83"/>
      <c r="H58" s="83">
        <f t="shared" si="50"/>
        <v>0</v>
      </c>
      <c r="I58" s="83">
        <f t="shared" si="51"/>
        <v>0</v>
      </c>
      <c r="J58" s="83">
        <f t="shared" si="52"/>
        <v>0</v>
      </c>
      <c r="K58" s="84">
        <f>IF(J250=0,0,J58/J250)</f>
        <v>0</v>
      </c>
      <c r="L58" s="83">
        <v>0</v>
      </c>
      <c r="M58" s="83">
        <f t="shared" si="53"/>
        <v>0</v>
      </c>
      <c r="N58" s="85"/>
      <c r="Z58" s="33">
        <f t="shared" si="54"/>
        <v>0</v>
      </c>
      <c r="AB58" s="33">
        <f t="shared" si="55"/>
        <v>0</v>
      </c>
      <c r="AC58" s="33">
        <f t="shared" si="56"/>
        <v>0</v>
      </c>
      <c r="AD58" s="33">
        <f t="shared" si="57"/>
        <v>0</v>
      </c>
      <c r="AE58" s="33">
        <f t="shared" si="58"/>
        <v>0</v>
      </c>
      <c r="AF58" s="33">
        <f t="shared" si="59"/>
        <v>0</v>
      </c>
      <c r="AG58" s="33">
        <f t="shared" si="60"/>
        <v>0</v>
      </c>
      <c r="AH58" s="33">
        <f t="shared" si="61"/>
        <v>0</v>
      </c>
      <c r="AI58" s="25" t="s">
        <v>198</v>
      </c>
      <c r="AJ58" s="17">
        <f t="shared" si="62"/>
        <v>0</v>
      </c>
      <c r="AK58" s="17">
        <f t="shared" si="63"/>
        <v>0</v>
      </c>
      <c r="AL58" s="17">
        <f t="shared" si="64"/>
        <v>0</v>
      </c>
      <c r="AN58" s="33">
        <v>21</v>
      </c>
      <c r="AO58" s="33">
        <f aca="true" t="shared" si="74" ref="AO58:AO63">G58*1</f>
        <v>0</v>
      </c>
      <c r="AP58" s="33">
        <f aca="true" t="shared" si="75" ref="AP58:AP63">G58*(1-1)</f>
        <v>0</v>
      </c>
      <c r="AQ58" s="29" t="s">
        <v>6</v>
      </c>
      <c r="AV58" s="33">
        <f t="shared" si="65"/>
        <v>0</v>
      </c>
      <c r="AW58" s="33">
        <f t="shared" si="66"/>
        <v>0</v>
      </c>
      <c r="AX58" s="33">
        <f t="shared" si="67"/>
        <v>0</v>
      </c>
      <c r="AY58" s="34" t="s">
        <v>574</v>
      </c>
      <c r="AZ58" s="34" t="s">
        <v>588</v>
      </c>
      <c r="BA58" s="25" t="s">
        <v>601</v>
      </c>
      <c r="BC58" s="33">
        <f t="shared" si="68"/>
        <v>0</v>
      </c>
      <c r="BD58" s="33">
        <f t="shared" si="69"/>
        <v>0</v>
      </c>
      <c r="BE58" s="33">
        <v>0</v>
      </c>
      <c r="BF58" s="33">
        <f t="shared" si="70"/>
        <v>0</v>
      </c>
      <c r="BH58" s="17">
        <f t="shared" si="71"/>
        <v>0</v>
      </c>
      <c r="BI58" s="17">
        <f t="shared" si="72"/>
        <v>0</v>
      </c>
      <c r="BJ58" s="17">
        <f t="shared" si="73"/>
        <v>0</v>
      </c>
    </row>
    <row r="59" spans="1:62" ht="12.75">
      <c r="A59" s="82" t="s">
        <v>45</v>
      </c>
      <c r="B59" s="82" t="s">
        <v>198</v>
      </c>
      <c r="C59" s="82" t="s">
        <v>240</v>
      </c>
      <c r="D59" s="82" t="s">
        <v>393</v>
      </c>
      <c r="E59" s="82" t="s">
        <v>526</v>
      </c>
      <c r="F59" s="83">
        <v>272.14</v>
      </c>
      <c r="G59" s="83"/>
      <c r="H59" s="83">
        <f t="shared" si="50"/>
        <v>0</v>
      </c>
      <c r="I59" s="83">
        <f t="shared" si="51"/>
        <v>0</v>
      </c>
      <c r="J59" s="83">
        <f t="shared" si="52"/>
        <v>0</v>
      </c>
      <c r="K59" s="84">
        <f>IF(J250=0,0,J59/J250)</f>
        <v>0</v>
      </c>
      <c r="L59" s="83">
        <v>6E-05</v>
      </c>
      <c r="M59" s="83">
        <f t="shared" si="53"/>
        <v>0.0163284</v>
      </c>
      <c r="N59" s="85" t="s">
        <v>559</v>
      </c>
      <c r="Z59" s="33">
        <f t="shared" si="54"/>
        <v>0</v>
      </c>
      <c r="AB59" s="33">
        <f t="shared" si="55"/>
        <v>0</v>
      </c>
      <c r="AC59" s="33">
        <f t="shared" si="56"/>
        <v>0</v>
      </c>
      <c r="AD59" s="33">
        <f t="shared" si="57"/>
        <v>0</v>
      </c>
      <c r="AE59" s="33">
        <f t="shared" si="58"/>
        <v>0</v>
      </c>
      <c r="AF59" s="33">
        <f t="shared" si="59"/>
        <v>0</v>
      </c>
      <c r="AG59" s="33">
        <f t="shared" si="60"/>
        <v>0</v>
      </c>
      <c r="AH59" s="33">
        <f t="shared" si="61"/>
        <v>0</v>
      </c>
      <c r="AI59" s="25" t="s">
        <v>198</v>
      </c>
      <c r="AJ59" s="17">
        <f t="shared" si="62"/>
        <v>0</v>
      </c>
      <c r="AK59" s="17">
        <f t="shared" si="63"/>
        <v>0</v>
      </c>
      <c r="AL59" s="17">
        <f t="shared" si="64"/>
        <v>0</v>
      </c>
      <c r="AN59" s="33">
        <v>21</v>
      </c>
      <c r="AO59" s="33">
        <f t="shared" si="74"/>
        <v>0</v>
      </c>
      <c r="AP59" s="33">
        <f t="shared" si="75"/>
        <v>0</v>
      </c>
      <c r="AQ59" s="29" t="s">
        <v>6</v>
      </c>
      <c r="AV59" s="33">
        <f t="shared" si="65"/>
        <v>0</v>
      </c>
      <c r="AW59" s="33">
        <f t="shared" si="66"/>
        <v>0</v>
      </c>
      <c r="AX59" s="33">
        <f t="shared" si="67"/>
        <v>0</v>
      </c>
      <c r="AY59" s="34" t="s">
        <v>574</v>
      </c>
      <c r="AZ59" s="34" t="s">
        <v>588</v>
      </c>
      <c r="BA59" s="25" t="s">
        <v>601</v>
      </c>
      <c r="BC59" s="33">
        <f t="shared" si="68"/>
        <v>0</v>
      </c>
      <c r="BD59" s="33">
        <f t="shared" si="69"/>
        <v>0</v>
      </c>
      <c r="BE59" s="33">
        <v>0</v>
      </c>
      <c r="BF59" s="33">
        <f t="shared" si="70"/>
        <v>0.0163284</v>
      </c>
      <c r="BH59" s="17">
        <f t="shared" si="71"/>
        <v>0</v>
      </c>
      <c r="BI59" s="17">
        <f t="shared" si="72"/>
        <v>0</v>
      </c>
      <c r="BJ59" s="17">
        <f t="shared" si="73"/>
        <v>0</v>
      </c>
    </row>
    <row r="60" spans="1:62" ht="12.75">
      <c r="A60" s="82" t="s">
        <v>46</v>
      </c>
      <c r="B60" s="82" t="s">
        <v>198</v>
      </c>
      <c r="C60" s="82" t="s">
        <v>241</v>
      </c>
      <c r="D60" s="82" t="s">
        <v>394</v>
      </c>
      <c r="E60" s="82" t="s">
        <v>533</v>
      </c>
      <c r="F60" s="83">
        <v>2</v>
      </c>
      <c r="G60" s="83"/>
      <c r="H60" s="83">
        <f t="shared" si="50"/>
        <v>0</v>
      </c>
      <c r="I60" s="83">
        <f t="shared" si="51"/>
        <v>0</v>
      </c>
      <c r="J60" s="83">
        <f t="shared" si="52"/>
        <v>0</v>
      </c>
      <c r="K60" s="84">
        <f>IF(J250=0,0,J60/J250)</f>
        <v>0</v>
      </c>
      <c r="L60" s="83">
        <v>0.02</v>
      </c>
      <c r="M60" s="83">
        <f t="shared" si="53"/>
        <v>0.04</v>
      </c>
      <c r="N60" s="85"/>
      <c r="Z60" s="33">
        <f t="shared" si="54"/>
        <v>0</v>
      </c>
      <c r="AB60" s="33">
        <f t="shared" si="55"/>
        <v>0</v>
      </c>
      <c r="AC60" s="33">
        <f t="shared" si="56"/>
        <v>0</v>
      </c>
      <c r="AD60" s="33">
        <f t="shared" si="57"/>
        <v>0</v>
      </c>
      <c r="AE60" s="33">
        <f t="shared" si="58"/>
        <v>0</v>
      </c>
      <c r="AF60" s="33">
        <f t="shared" si="59"/>
        <v>0</v>
      </c>
      <c r="AG60" s="33">
        <f t="shared" si="60"/>
        <v>0</v>
      </c>
      <c r="AH60" s="33">
        <f t="shared" si="61"/>
        <v>0</v>
      </c>
      <c r="AI60" s="25" t="s">
        <v>198</v>
      </c>
      <c r="AJ60" s="17">
        <f t="shared" si="62"/>
        <v>0</v>
      </c>
      <c r="AK60" s="17">
        <f t="shared" si="63"/>
        <v>0</v>
      </c>
      <c r="AL60" s="17">
        <f t="shared" si="64"/>
        <v>0</v>
      </c>
      <c r="AN60" s="33">
        <v>21</v>
      </c>
      <c r="AO60" s="33">
        <f t="shared" si="74"/>
        <v>0</v>
      </c>
      <c r="AP60" s="33">
        <f t="shared" si="75"/>
        <v>0</v>
      </c>
      <c r="AQ60" s="29" t="s">
        <v>6</v>
      </c>
      <c r="AV60" s="33">
        <f t="shared" si="65"/>
        <v>0</v>
      </c>
      <c r="AW60" s="33">
        <f t="shared" si="66"/>
        <v>0</v>
      </c>
      <c r="AX60" s="33">
        <f t="shared" si="67"/>
        <v>0</v>
      </c>
      <c r="AY60" s="34" t="s">
        <v>574</v>
      </c>
      <c r="AZ60" s="34" t="s">
        <v>588</v>
      </c>
      <c r="BA60" s="25" t="s">
        <v>601</v>
      </c>
      <c r="BC60" s="33">
        <f t="shared" si="68"/>
        <v>0</v>
      </c>
      <c r="BD60" s="33">
        <f t="shared" si="69"/>
        <v>0</v>
      </c>
      <c r="BE60" s="33">
        <v>0</v>
      </c>
      <c r="BF60" s="33">
        <f t="shared" si="70"/>
        <v>0.04</v>
      </c>
      <c r="BH60" s="17">
        <f t="shared" si="71"/>
        <v>0</v>
      </c>
      <c r="BI60" s="17">
        <f t="shared" si="72"/>
        <v>0</v>
      </c>
      <c r="BJ60" s="17">
        <f t="shared" si="73"/>
        <v>0</v>
      </c>
    </row>
    <row r="61" spans="1:62" ht="12.75">
      <c r="A61" s="82" t="s">
        <v>47</v>
      </c>
      <c r="B61" s="82" t="s">
        <v>198</v>
      </c>
      <c r="C61" s="82" t="s">
        <v>242</v>
      </c>
      <c r="D61" s="82" t="s">
        <v>395</v>
      </c>
      <c r="E61" s="82" t="s">
        <v>533</v>
      </c>
      <c r="F61" s="83">
        <v>2</v>
      </c>
      <c r="G61" s="83"/>
      <c r="H61" s="83">
        <f t="shared" si="50"/>
        <v>0</v>
      </c>
      <c r="I61" s="83">
        <f t="shared" si="51"/>
        <v>0</v>
      </c>
      <c r="J61" s="83">
        <f t="shared" si="52"/>
        <v>0</v>
      </c>
      <c r="K61" s="84">
        <f>IF(J250=0,0,J61/J250)</f>
        <v>0</v>
      </c>
      <c r="L61" s="83">
        <v>0</v>
      </c>
      <c r="M61" s="83">
        <f t="shared" si="53"/>
        <v>0</v>
      </c>
      <c r="N61" s="85"/>
      <c r="Z61" s="33">
        <f t="shared" si="54"/>
        <v>0</v>
      </c>
      <c r="AB61" s="33">
        <f t="shared" si="55"/>
        <v>0</v>
      </c>
      <c r="AC61" s="33">
        <f t="shared" si="56"/>
        <v>0</v>
      </c>
      <c r="AD61" s="33">
        <f t="shared" si="57"/>
        <v>0</v>
      </c>
      <c r="AE61" s="33">
        <f t="shared" si="58"/>
        <v>0</v>
      </c>
      <c r="AF61" s="33">
        <f t="shared" si="59"/>
        <v>0</v>
      </c>
      <c r="AG61" s="33">
        <f t="shared" si="60"/>
        <v>0</v>
      </c>
      <c r="AH61" s="33">
        <f t="shared" si="61"/>
        <v>0</v>
      </c>
      <c r="AI61" s="25" t="s">
        <v>198</v>
      </c>
      <c r="AJ61" s="17">
        <f t="shared" si="62"/>
        <v>0</v>
      </c>
      <c r="AK61" s="17">
        <f t="shared" si="63"/>
        <v>0</v>
      </c>
      <c r="AL61" s="17">
        <f t="shared" si="64"/>
        <v>0</v>
      </c>
      <c r="AN61" s="33">
        <v>21</v>
      </c>
      <c r="AO61" s="33">
        <f t="shared" si="74"/>
        <v>0</v>
      </c>
      <c r="AP61" s="33">
        <f t="shared" si="75"/>
        <v>0</v>
      </c>
      <c r="AQ61" s="29" t="s">
        <v>6</v>
      </c>
      <c r="AV61" s="33">
        <f t="shared" si="65"/>
        <v>0</v>
      </c>
      <c r="AW61" s="33">
        <f t="shared" si="66"/>
        <v>0</v>
      </c>
      <c r="AX61" s="33">
        <f t="shared" si="67"/>
        <v>0</v>
      </c>
      <c r="AY61" s="34" t="s">
        <v>574</v>
      </c>
      <c r="AZ61" s="34" t="s">
        <v>588</v>
      </c>
      <c r="BA61" s="25" t="s">
        <v>601</v>
      </c>
      <c r="BC61" s="33">
        <f t="shared" si="68"/>
        <v>0</v>
      </c>
      <c r="BD61" s="33">
        <f t="shared" si="69"/>
        <v>0</v>
      </c>
      <c r="BE61" s="33">
        <v>0</v>
      </c>
      <c r="BF61" s="33">
        <f t="shared" si="70"/>
        <v>0</v>
      </c>
      <c r="BH61" s="17">
        <f t="shared" si="71"/>
        <v>0</v>
      </c>
      <c r="BI61" s="17">
        <f t="shared" si="72"/>
        <v>0</v>
      </c>
      <c r="BJ61" s="17">
        <f t="shared" si="73"/>
        <v>0</v>
      </c>
    </row>
    <row r="62" spans="1:62" ht="12.75">
      <c r="A62" s="82" t="s">
        <v>48</v>
      </c>
      <c r="B62" s="82" t="s">
        <v>198</v>
      </c>
      <c r="C62" s="82" t="s">
        <v>243</v>
      </c>
      <c r="D62" s="82" t="s">
        <v>396</v>
      </c>
      <c r="E62" s="82" t="s">
        <v>534</v>
      </c>
      <c r="F62" s="83">
        <v>4</v>
      </c>
      <c r="G62" s="83"/>
      <c r="H62" s="83">
        <f t="shared" si="50"/>
        <v>0</v>
      </c>
      <c r="I62" s="83">
        <f t="shared" si="51"/>
        <v>0</v>
      </c>
      <c r="J62" s="83">
        <f t="shared" si="52"/>
        <v>0</v>
      </c>
      <c r="K62" s="84">
        <f>IF(J250=0,0,J62/J250)</f>
        <v>0</v>
      </c>
      <c r="L62" s="83">
        <v>0.0073</v>
      </c>
      <c r="M62" s="83">
        <f t="shared" si="53"/>
        <v>0.0292</v>
      </c>
      <c r="N62" s="85" t="s">
        <v>559</v>
      </c>
      <c r="Z62" s="33">
        <f t="shared" si="54"/>
        <v>0</v>
      </c>
      <c r="AB62" s="33">
        <f t="shared" si="55"/>
        <v>0</v>
      </c>
      <c r="AC62" s="33">
        <f t="shared" si="56"/>
        <v>0</v>
      </c>
      <c r="AD62" s="33">
        <f t="shared" si="57"/>
        <v>0</v>
      </c>
      <c r="AE62" s="33">
        <f t="shared" si="58"/>
        <v>0</v>
      </c>
      <c r="AF62" s="33">
        <f t="shared" si="59"/>
        <v>0</v>
      </c>
      <c r="AG62" s="33">
        <f t="shared" si="60"/>
        <v>0</v>
      </c>
      <c r="AH62" s="33">
        <f t="shared" si="61"/>
        <v>0</v>
      </c>
      <c r="AI62" s="25" t="s">
        <v>198</v>
      </c>
      <c r="AJ62" s="17">
        <f t="shared" si="62"/>
        <v>0</v>
      </c>
      <c r="AK62" s="17">
        <f t="shared" si="63"/>
        <v>0</v>
      </c>
      <c r="AL62" s="17">
        <f t="shared" si="64"/>
        <v>0</v>
      </c>
      <c r="AN62" s="33">
        <v>21</v>
      </c>
      <c r="AO62" s="33">
        <f t="shared" si="74"/>
        <v>0</v>
      </c>
      <c r="AP62" s="33">
        <f t="shared" si="75"/>
        <v>0</v>
      </c>
      <c r="AQ62" s="29" t="s">
        <v>6</v>
      </c>
      <c r="AV62" s="33">
        <f t="shared" si="65"/>
        <v>0</v>
      </c>
      <c r="AW62" s="33">
        <f t="shared" si="66"/>
        <v>0</v>
      </c>
      <c r="AX62" s="33">
        <f t="shared" si="67"/>
        <v>0</v>
      </c>
      <c r="AY62" s="34" t="s">
        <v>574</v>
      </c>
      <c r="AZ62" s="34" t="s">
        <v>588</v>
      </c>
      <c r="BA62" s="25" t="s">
        <v>601</v>
      </c>
      <c r="BC62" s="33">
        <f t="shared" si="68"/>
        <v>0</v>
      </c>
      <c r="BD62" s="33">
        <f t="shared" si="69"/>
        <v>0</v>
      </c>
      <c r="BE62" s="33">
        <v>0</v>
      </c>
      <c r="BF62" s="33">
        <f t="shared" si="70"/>
        <v>0.0292</v>
      </c>
      <c r="BH62" s="17">
        <f t="shared" si="71"/>
        <v>0</v>
      </c>
      <c r="BI62" s="17">
        <f t="shared" si="72"/>
        <v>0</v>
      </c>
      <c r="BJ62" s="17">
        <f t="shared" si="73"/>
        <v>0</v>
      </c>
    </row>
    <row r="63" spans="1:62" ht="12.75">
      <c r="A63" s="82" t="s">
        <v>49</v>
      </c>
      <c r="B63" s="82" t="s">
        <v>198</v>
      </c>
      <c r="C63" s="82" t="s">
        <v>244</v>
      </c>
      <c r="D63" s="82" t="s">
        <v>397</v>
      </c>
      <c r="E63" s="82" t="s">
        <v>534</v>
      </c>
      <c r="F63" s="83">
        <v>24</v>
      </c>
      <c r="G63" s="83"/>
      <c r="H63" s="83">
        <f t="shared" si="50"/>
        <v>0</v>
      </c>
      <c r="I63" s="83">
        <f t="shared" si="51"/>
        <v>0</v>
      </c>
      <c r="J63" s="83">
        <f t="shared" si="52"/>
        <v>0</v>
      </c>
      <c r="K63" s="84">
        <f>IF(J250=0,0,J63/J250)</f>
        <v>0</v>
      </c>
      <c r="L63" s="83">
        <v>0</v>
      </c>
      <c r="M63" s="83">
        <f t="shared" si="53"/>
        <v>0</v>
      </c>
      <c r="N63" s="85" t="s">
        <v>559</v>
      </c>
      <c r="Z63" s="33">
        <f t="shared" si="54"/>
        <v>0</v>
      </c>
      <c r="AB63" s="33">
        <f t="shared" si="55"/>
        <v>0</v>
      </c>
      <c r="AC63" s="33">
        <f t="shared" si="56"/>
        <v>0</v>
      </c>
      <c r="AD63" s="33">
        <f t="shared" si="57"/>
        <v>0</v>
      </c>
      <c r="AE63" s="33">
        <f t="shared" si="58"/>
        <v>0</v>
      </c>
      <c r="AF63" s="33">
        <f t="shared" si="59"/>
        <v>0</v>
      </c>
      <c r="AG63" s="33">
        <f t="shared" si="60"/>
        <v>0</v>
      </c>
      <c r="AH63" s="33">
        <f t="shared" si="61"/>
        <v>0</v>
      </c>
      <c r="AI63" s="25" t="s">
        <v>198</v>
      </c>
      <c r="AJ63" s="17">
        <f t="shared" si="62"/>
        <v>0</v>
      </c>
      <c r="AK63" s="17">
        <f t="shared" si="63"/>
        <v>0</v>
      </c>
      <c r="AL63" s="17">
        <f t="shared" si="64"/>
        <v>0</v>
      </c>
      <c r="AN63" s="33">
        <v>21</v>
      </c>
      <c r="AO63" s="33">
        <f t="shared" si="74"/>
        <v>0</v>
      </c>
      <c r="AP63" s="33">
        <f t="shared" si="75"/>
        <v>0</v>
      </c>
      <c r="AQ63" s="29" t="s">
        <v>6</v>
      </c>
      <c r="AV63" s="33">
        <f t="shared" si="65"/>
        <v>0</v>
      </c>
      <c r="AW63" s="33">
        <f t="shared" si="66"/>
        <v>0</v>
      </c>
      <c r="AX63" s="33">
        <f t="shared" si="67"/>
        <v>0</v>
      </c>
      <c r="AY63" s="34" t="s">
        <v>574</v>
      </c>
      <c r="AZ63" s="34" t="s">
        <v>588</v>
      </c>
      <c r="BA63" s="25" t="s">
        <v>601</v>
      </c>
      <c r="BC63" s="33">
        <f t="shared" si="68"/>
        <v>0</v>
      </c>
      <c r="BD63" s="33">
        <f t="shared" si="69"/>
        <v>0</v>
      </c>
      <c r="BE63" s="33">
        <v>0</v>
      </c>
      <c r="BF63" s="33">
        <f t="shared" si="70"/>
        <v>0</v>
      </c>
      <c r="BH63" s="17">
        <f t="shared" si="71"/>
        <v>0</v>
      </c>
      <c r="BI63" s="17">
        <f t="shared" si="72"/>
        <v>0</v>
      </c>
      <c r="BJ63" s="17">
        <f t="shared" si="73"/>
        <v>0</v>
      </c>
    </row>
    <row r="64" spans="1:62" ht="12.75">
      <c r="A64" s="86" t="s">
        <v>50</v>
      </c>
      <c r="B64" s="86" t="s">
        <v>198</v>
      </c>
      <c r="C64" s="86" t="s">
        <v>245</v>
      </c>
      <c r="D64" s="86" t="s">
        <v>398</v>
      </c>
      <c r="E64" s="86" t="s">
        <v>534</v>
      </c>
      <c r="F64" s="87">
        <v>26</v>
      </c>
      <c r="G64" s="87"/>
      <c r="H64" s="87">
        <f t="shared" si="50"/>
        <v>0</v>
      </c>
      <c r="I64" s="87">
        <f t="shared" si="51"/>
        <v>0</v>
      </c>
      <c r="J64" s="87">
        <f t="shared" si="52"/>
        <v>0</v>
      </c>
      <c r="K64" s="88">
        <f>IF(J250=0,0,J64/J250)</f>
        <v>0</v>
      </c>
      <c r="L64" s="87">
        <v>0.11178</v>
      </c>
      <c r="M64" s="87">
        <f t="shared" si="53"/>
        <v>2.90628</v>
      </c>
      <c r="N64" s="89" t="s">
        <v>559</v>
      </c>
      <c r="Z64" s="33">
        <f t="shared" si="54"/>
        <v>0</v>
      </c>
      <c r="AB64" s="33">
        <f t="shared" si="55"/>
        <v>0</v>
      </c>
      <c r="AC64" s="33">
        <f t="shared" si="56"/>
        <v>0</v>
      </c>
      <c r="AD64" s="33">
        <f t="shared" si="57"/>
        <v>0</v>
      </c>
      <c r="AE64" s="33">
        <f t="shared" si="58"/>
        <v>0</v>
      </c>
      <c r="AF64" s="33">
        <f t="shared" si="59"/>
        <v>0</v>
      </c>
      <c r="AG64" s="33">
        <f t="shared" si="60"/>
        <v>0</v>
      </c>
      <c r="AH64" s="33">
        <f t="shared" si="61"/>
        <v>0</v>
      </c>
      <c r="AI64" s="25" t="s">
        <v>198</v>
      </c>
      <c r="AJ64" s="18">
        <f t="shared" si="62"/>
        <v>0</v>
      </c>
      <c r="AK64" s="18">
        <f t="shared" si="63"/>
        <v>0</v>
      </c>
      <c r="AL64" s="18">
        <f t="shared" si="64"/>
        <v>0</v>
      </c>
      <c r="AN64" s="33">
        <v>21</v>
      </c>
      <c r="AO64" s="33">
        <f>G64*0.327370441458733</f>
        <v>0</v>
      </c>
      <c r="AP64" s="33">
        <f>G64*(1-0.327370441458733)</f>
        <v>0</v>
      </c>
      <c r="AQ64" s="30" t="s">
        <v>6</v>
      </c>
      <c r="AV64" s="33">
        <f t="shared" si="65"/>
        <v>0</v>
      </c>
      <c r="AW64" s="33">
        <f t="shared" si="66"/>
        <v>0</v>
      </c>
      <c r="AX64" s="33">
        <f t="shared" si="67"/>
        <v>0</v>
      </c>
      <c r="AY64" s="34" t="s">
        <v>574</v>
      </c>
      <c r="AZ64" s="34" t="s">
        <v>588</v>
      </c>
      <c r="BA64" s="25" t="s">
        <v>601</v>
      </c>
      <c r="BC64" s="33">
        <f t="shared" si="68"/>
        <v>0</v>
      </c>
      <c r="BD64" s="33">
        <f t="shared" si="69"/>
        <v>0</v>
      </c>
      <c r="BE64" s="33">
        <v>0</v>
      </c>
      <c r="BF64" s="33">
        <f t="shared" si="70"/>
        <v>2.90628</v>
      </c>
      <c r="BH64" s="18">
        <f t="shared" si="71"/>
        <v>0</v>
      </c>
      <c r="BI64" s="18">
        <f t="shared" si="72"/>
        <v>0</v>
      </c>
      <c r="BJ64" s="18">
        <f t="shared" si="73"/>
        <v>0</v>
      </c>
    </row>
    <row r="65" spans="1:62" ht="12.75">
      <c r="A65" s="82" t="s">
        <v>51</v>
      </c>
      <c r="B65" s="82" t="s">
        <v>198</v>
      </c>
      <c r="C65" s="82" t="s">
        <v>246</v>
      </c>
      <c r="D65" s="82" t="s">
        <v>399</v>
      </c>
      <c r="E65" s="82" t="s">
        <v>534</v>
      </c>
      <c r="F65" s="83">
        <v>24</v>
      </c>
      <c r="G65" s="83"/>
      <c r="H65" s="83">
        <f t="shared" si="50"/>
        <v>0</v>
      </c>
      <c r="I65" s="83">
        <f t="shared" si="51"/>
        <v>0</v>
      </c>
      <c r="J65" s="83">
        <f t="shared" si="52"/>
        <v>0</v>
      </c>
      <c r="K65" s="84">
        <f>IF(J250=0,0,J65/J250)</f>
        <v>0</v>
      </c>
      <c r="L65" s="83">
        <v>0.016</v>
      </c>
      <c r="M65" s="83">
        <f t="shared" si="53"/>
        <v>0.384</v>
      </c>
      <c r="N65" s="85" t="s">
        <v>559</v>
      </c>
      <c r="Z65" s="33">
        <f t="shared" si="54"/>
        <v>0</v>
      </c>
      <c r="AB65" s="33">
        <f t="shared" si="55"/>
        <v>0</v>
      </c>
      <c r="AC65" s="33">
        <f t="shared" si="56"/>
        <v>0</v>
      </c>
      <c r="AD65" s="33">
        <f t="shared" si="57"/>
        <v>0</v>
      </c>
      <c r="AE65" s="33">
        <f t="shared" si="58"/>
        <v>0</v>
      </c>
      <c r="AF65" s="33">
        <f t="shared" si="59"/>
        <v>0</v>
      </c>
      <c r="AG65" s="33">
        <f t="shared" si="60"/>
        <v>0</v>
      </c>
      <c r="AH65" s="33">
        <f t="shared" si="61"/>
        <v>0</v>
      </c>
      <c r="AI65" s="25" t="s">
        <v>198</v>
      </c>
      <c r="AJ65" s="17">
        <f t="shared" si="62"/>
        <v>0</v>
      </c>
      <c r="AK65" s="17">
        <f t="shared" si="63"/>
        <v>0</v>
      </c>
      <c r="AL65" s="17">
        <f t="shared" si="64"/>
        <v>0</v>
      </c>
      <c r="AN65" s="33">
        <v>21</v>
      </c>
      <c r="AO65" s="33">
        <f>G65*1</f>
        <v>0</v>
      </c>
      <c r="AP65" s="33">
        <f>G65*(1-1)</f>
        <v>0</v>
      </c>
      <c r="AQ65" s="29" t="s">
        <v>6</v>
      </c>
      <c r="AV65" s="33">
        <f t="shared" si="65"/>
        <v>0</v>
      </c>
      <c r="AW65" s="33">
        <f t="shared" si="66"/>
        <v>0</v>
      </c>
      <c r="AX65" s="33">
        <f t="shared" si="67"/>
        <v>0</v>
      </c>
      <c r="AY65" s="34" t="s">
        <v>574</v>
      </c>
      <c r="AZ65" s="34" t="s">
        <v>588</v>
      </c>
      <c r="BA65" s="25" t="s">
        <v>601</v>
      </c>
      <c r="BC65" s="33">
        <f t="shared" si="68"/>
        <v>0</v>
      </c>
      <c r="BD65" s="33">
        <f t="shared" si="69"/>
        <v>0</v>
      </c>
      <c r="BE65" s="33">
        <v>0</v>
      </c>
      <c r="BF65" s="33">
        <f t="shared" si="70"/>
        <v>0.384</v>
      </c>
      <c r="BH65" s="17">
        <f t="shared" si="71"/>
        <v>0</v>
      </c>
      <c r="BI65" s="17">
        <f t="shared" si="72"/>
        <v>0</v>
      </c>
      <c r="BJ65" s="17">
        <f t="shared" si="73"/>
        <v>0</v>
      </c>
    </row>
    <row r="66" spans="1:62" ht="12.75">
      <c r="A66" s="86" t="s">
        <v>52</v>
      </c>
      <c r="B66" s="86" t="s">
        <v>198</v>
      </c>
      <c r="C66" s="86" t="s">
        <v>247</v>
      </c>
      <c r="D66" s="86" t="s">
        <v>400</v>
      </c>
      <c r="E66" s="86" t="s">
        <v>534</v>
      </c>
      <c r="F66" s="87">
        <v>24</v>
      </c>
      <c r="G66" s="87"/>
      <c r="H66" s="87">
        <f t="shared" si="50"/>
        <v>0</v>
      </c>
      <c r="I66" s="87">
        <f t="shared" si="51"/>
        <v>0</v>
      </c>
      <c r="J66" s="87">
        <f t="shared" si="52"/>
        <v>0</v>
      </c>
      <c r="K66" s="88">
        <f>IF(J250=0,0,J66/J250)</f>
        <v>0</v>
      </c>
      <c r="L66" s="87">
        <v>0.00022</v>
      </c>
      <c r="M66" s="87">
        <f t="shared" si="53"/>
        <v>0.00528</v>
      </c>
      <c r="N66" s="89" t="s">
        <v>559</v>
      </c>
      <c r="Z66" s="33">
        <f t="shared" si="54"/>
        <v>0</v>
      </c>
      <c r="AB66" s="33">
        <f t="shared" si="55"/>
        <v>0</v>
      </c>
      <c r="AC66" s="33">
        <f t="shared" si="56"/>
        <v>0</v>
      </c>
      <c r="AD66" s="33">
        <f t="shared" si="57"/>
        <v>0</v>
      </c>
      <c r="AE66" s="33">
        <f t="shared" si="58"/>
        <v>0</v>
      </c>
      <c r="AF66" s="33">
        <f t="shared" si="59"/>
        <v>0</v>
      </c>
      <c r="AG66" s="33">
        <f t="shared" si="60"/>
        <v>0</v>
      </c>
      <c r="AH66" s="33">
        <f t="shared" si="61"/>
        <v>0</v>
      </c>
      <c r="AI66" s="25" t="s">
        <v>198</v>
      </c>
      <c r="AJ66" s="18">
        <f t="shared" si="62"/>
        <v>0</v>
      </c>
      <c r="AK66" s="18">
        <f t="shared" si="63"/>
        <v>0</v>
      </c>
      <c r="AL66" s="18">
        <f t="shared" si="64"/>
        <v>0</v>
      </c>
      <c r="AN66" s="33">
        <v>21</v>
      </c>
      <c r="AO66" s="33">
        <f>G66*0.107883116883117</f>
        <v>0</v>
      </c>
      <c r="AP66" s="33">
        <f>G66*(1-0.107883116883117)</f>
        <v>0</v>
      </c>
      <c r="AQ66" s="30" t="s">
        <v>6</v>
      </c>
      <c r="AV66" s="33">
        <f t="shared" si="65"/>
        <v>0</v>
      </c>
      <c r="AW66" s="33">
        <f t="shared" si="66"/>
        <v>0</v>
      </c>
      <c r="AX66" s="33">
        <f t="shared" si="67"/>
        <v>0</v>
      </c>
      <c r="AY66" s="34" t="s">
        <v>574</v>
      </c>
      <c r="AZ66" s="34" t="s">
        <v>588</v>
      </c>
      <c r="BA66" s="25" t="s">
        <v>601</v>
      </c>
      <c r="BC66" s="33">
        <f t="shared" si="68"/>
        <v>0</v>
      </c>
      <c r="BD66" s="33">
        <f t="shared" si="69"/>
        <v>0</v>
      </c>
      <c r="BE66" s="33">
        <v>0</v>
      </c>
      <c r="BF66" s="33">
        <f t="shared" si="70"/>
        <v>0.00528</v>
      </c>
      <c r="BH66" s="18">
        <f t="shared" si="71"/>
        <v>0</v>
      </c>
      <c r="BI66" s="18">
        <f t="shared" si="72"/>
        <v>0</v>
      </c>
      <c r="BJ66" s="18">
        <f t="shared" si="73"/>
        <v>0</v>
      </c>
    </row>
    <row r="67" spans="1:62" ht="12.75">
      <c r="A67" s="86" t="s">
        <v>53</v>
      </c>
      <c r="B67" s="86" t="s">
        <v>198</v>
      </c>
      <c r="C67" s="86" t="s">
        <v>248</v>
      </c>
      <c r="D67" s="86" t="s">
        <v>401</v>
      </c>
      <c r="E67" s="86" t="s">
        <v>534</v>
      </c>
      <c r="F67" s="87">
        <v>24</v>
      </c>
      <c r="G67" s="87"/>
      <c r="H67" s="87">
        <f t="shared" si="50"/>
        <v>0</v>
      </c>
      <c r="I67" s="87">
        <f t="shared" si="51"/>
        <v>0</v>
      </c>
      <c r="J67" s="87">
        <f t="shared" si="52"/>
        <v>0</v>
      </c>
      <c r="K67" s="88">
        <f>IF(J250=0,0,J67/J250)</f>
        <v>0</v>
      </c>
      <c r="L67" s="87">
        <v>0</v>
      </c>
      <c r="M67" s="87">
        <f t="shared" si="53"/>
        <v>0</v>
      </c>
      <c r="N67" s="89" t="s">
        <v>559</v>
      </c>
      <c r="Z67" s="33">
        <f t="shared" si="54"/>
        <v>0</v>
      </c>
      <c r="AB67" s="33">
        <f t="shared" si="55"/>
        <v>0</v>
      </c>
      <c r="AC67" s="33">
        <f t="shared" si="56"/>
        <v>0</v>
      </c>
      <c r="AD67" s="33">
        <f t="shared" si="57"/>
        <v>0</v>
      </c>
      <c r="AE67" s="33">
        <f t="shared" si="58"/>
        <v>0</v>
      </c>
      <c r="AF67" s="33">
        <f t="shared" si="59"/>
        <v>0</v>
      </c>
      <c r="AG67" s="33">
        <f t="shared" si="60"/>
        <v>0</v>
      </c>
      <c r="AH67" s="33">
        <f t="shared" si="61"/>
        <v>0</v>
      </c>
      <c r="AI67" s="25" t="s">
        <v>198</v>
      </c>
      <c r="AJ67" s="18">
        <f t="shared" si="62"/>
        <v>0</v>
      </c>
      <c r="AK67" s="18">
        <f t="shared" si="63"/>
        <v>0</v>
      </c>
      <c r="AL67" s="18">
        <f t="shared" si="64"/>
        <v>0</v>
      </c>
      <c r="AN67" s="33">
        <v>21</v>
      </c>
      <c r="AO67" s="33">
        <f>G67*0</f>
        <v>0</v>
      </c>
      <c r="AP67" s="33">
        <f>G67*(1-0)</f>
        <v>0</v>
      </c>
      <c r="AQ67" s="30" t="s">
        <v>6</v>
      </c>
      <c r="AV67" s="33">
        <f t="shared" si="65"/>
        <v>0</v>
      </c>
      <c r="AW67" s="33">
        <f t="shared" si="66"/>
        <v>0</v>
      </c>
      <c r="AX67" s="33">
        <f t="shared" si="67"/>
        <v>0</v>
      </c>
      <c r="AY67" s="34" t="s">
        <v>574</v>
      </c>
      <c r="AZ67" s="34" t="s">
        <v>588</v>
      </c>
      <c r="BA67" s="25" t="s">
        <v>601</v>
      </c>
      <c r="BC67" s="33">
        <f t="shared" si="68"/>
        <v>0</v>
      </c>
      <c r="BD67" s="33">
        <f t="shared" si="69"/>
        <v>0</v>
      </c>
      <c r="BE67" s="33">
        <v>0</v>
      </c>
      <c r="BF67" s="33">
        <f t="shared" si="70"/>
        <v>0</v>
      </c>
      <c r="BH67" s="18">
        <f t="shared" si="71"/>
        <v>0</v>
      </c>
      <c r="BI67" s="18">
        <f t="shared" si="72"/>
        <v>0</v>
      </c>
      <c r="BJ67" s="18">
        <f t="shared" si="73"/>
        <v>0</v>
      </c>
    </row>
    <row r="68" spans="1:62" ht="12.75">
      <c r="A68" s="86" t="s">
        <v>54</v>
      </c>
      <c r="B68" s="86" t="s">
        <v>198</v>
      </c>
      <c r="C68" s="86" t="s">
        <v>249</v>
      </c>
      <c r="D68" s="86" t="s">
        <v>402</v>
      </c>
      <c r="E68" s="86" t="s">
        <v>534</v>
      </c>
      <c r="F68" s="87">
        <v>6</v>
      </c>
      <c r="G68" s="87"/>
      <c r="H68" s="87">
        <f t="shared" si="50"/>
        <v>0</v>
      </c>
      <c r="I68" s="87">
        <f t="shared" si="51"/>
        <v>0</v>
      </c>
      <c r="J68" s="87">
        <f t="shared" si="52"/>
        <v>0</v>
      </c>
      <c r="K68" s="88">
        <f>IF(J250=0,0,J68/J250)</f>
        <v>0</v>
      </c>
      <c r="L68" s="87">
        <v>0</v>
      </c>
      <c r="M68" s="87">
        <f t="shared" si="53"/>
        <v>0</v>
      </c>
      <c r="N68" s="89" t="s">
        <v>559</v>
      </c>
      <c r="Z68" s="33">
        <f t="shared" si="54"/>
        <v>0</v>
      </c>
      <c r="AB68" s="33">
        <f t="shared" si="55"/>
        <v>0</v>
      </c>
      <c r="AC68" s="33">
        <f t="shared" si="56"/>
        <v>0</v>
      </c>
      <c r="AD68" s="33">
        <f t="shared" si="57"/>
        <v>0</v>
      </c>
      <c r="AE68" s="33">
        <f t="shared" si="58"/>
        <v>0</v>
      </c>
      <c r="AF68" s="33">
        <f t="shared" si="59"/>
        <v>0</v>
      </c>
      <c r="AG68" s="33">
        <f t="shared" si="60"/>
        <v>0</v>
      </c>
      <c r="AH68" s="33">
        <f t="shared" si="61"/>
        <v>0</v>
      </c>
      <c r="AI68" s="25" t="s">
        <v>198</v>
      </c>
      <c r="AJ68" s="18">
        <f t="shared" si="62"/>
        <v>0</v>
      </c>
      <c r="AK68" s="18">
        <f t="shared" si="63"/>
        <v>0</v>
      </c>
      <c r="AL68" s="18">
        <f t="shared" si="64"/>
        <v>0</v>
      </c>
      <c r="AN68" s="33">
        <v>21</v>
      </c>
      <c r="AO68" s="33">
        <f>G68*0.0000196078431372549</f>
        <v>0</v>
      </c>
      <c r="AP68" s="33">
        <f>G68*(1-0.0000196078431372549)</f>
        <v>0</v>
      </c>
      <c r="AQ68" s="30" t="s">
        <v>6</v>
      </c>
      <c r="AV68" s="33">
        <f t="shared" si="65"/>
        <v>0</v>
      </c>
      <c r="AW68" s="33">
        <f t="shared" si="66"/>
        <v>0</v>
      </c>
      <c r="AX68" s="33">
        <f t="shared" si="67"/>
        <v>0</v>
      </c>
      <c r="AY68" s="34" t="s">
        <v>574</v>
      </c>
      <c r="AZ68" s="34" t="s">
        <v>588</v>
      </c>
      <c r="BA68" s="25" t="s">
        <v>601</v>
      </c>
      <c r="BC68" s="33">
        <f t="shared" si="68"/>
        <v>0</v>
      </c>
      <c r="BD68" s="33">
        <f t="shared" si="69"/>
        <v>0</v>
      </c>
      <c r="BE68" s="33">
        <v>0</v>
      </c>
      <c r="BF68" s="33">
        <f t="shared" si="70"/>
        <v>0</v>
      </c>
      <c r="BH68" s="18">
        <f t="shared" si="71"/>
        <v>0</v>
      </c>
      <c r="BI68" s="18">
        <f t="shared" si="72"/>
        <v>0</v>
      </c>
      <c r="BJ68" s="18">
        <f t="shared" si="73"/>
        <v>0</v>
      </c>
    </row>
    <row r="69" spans="1:62" ht="12.75">
      <c r="A69" s="86" t="s">
        <v>55</v>
      </c>
      <c r="B69" s="86" t="s">
        <v>198</v>
      </c>
      <c r="C69" s="86" t="s">
        <v>250</v>
      </c>
      <c r="D69" s="86" t="s">
        <v>403</v>
      </c>
      <c r="E69" s="86" t="s">
        <v>534</v>
      </c>
      <c r="F69" s="87">
        <v>4</v>
      </c>
      <c r="G69" s="87"/>
      <c r="H69" s="87">
        <f t="shared" si="50"/>
        <v>0</v>
      </c>
      <c r="I69" s="87">
        <f t="shared" si="51"/>
        <v>0</v>
      </c>
      <c r="J69" s="87">
        <f t="shared" si="52"/>
        <v>0</v>
      </c>
      <c r="K69" s="88">
        <f>IF(J250=0,0,J69/J250)</f>
        <v>0</v>
      </c>
      <c r="L69" s="87">
        <v>0.00032</v>
      </c>
      <c r="M69" s="87">
        <f t="shared" si="53"/>
        <v>0.00128</v>
      </c>
      <c r="N69" s="89" t="s">
        <v>559</v>
      </c>
      <c r="Z69" s="33">
        <f t="shared" si="54"/>
        <v>0</v>
      </c>
      <c r="AB69" s="33">
        <f t="shared" si="55"/>
        <v>0</v>
      </c>
      <c r="AC69" s="33">
        <f t="shared" si="56"/>
        <v>0</v>
      </c>
      <c r="AD69" s="33">
        <f t="shared" si="57"/>
        <v>0</v>
      </c>
      <c r="AE69" s="33">
        <f t="shared" si="58"/>
        <v>0</v>
      </c>
      <c r="AF69" s="33">
        <f t="shared" si="59"/>
        <v>0</v>
      </c>
      <c r="AG69" s="33">
        <f t="shared" si="60"/>
        <v>0</v>
      </c>
      <c r="AH69" s="33">
        <f t="shared" si="61"/>
        <v>0</v>
      </c>
      <c r="AI69" s="25" t="s">
        <v>198</v>
      </c>
      <c r="AJ69" s="18">
        <f t="shared" si="62"/>
        <v>0</v>
      </c>
      <c r="AK69" s="18">
        <f t="shared" si="63"/>
        <v>0</v>
      </c>
      <c r="AL69" s="18">
        <f t="shared" si="64"/>
        <v>0</v>
      </c>
      <c r="AN69" s="33">
        <v>21</v>
      </c>
      <c r="AO69" s="33">
        <f>G69*0.215927209705373</f>
        <v>0</v>
      </c>
      <c r="AP69" s="33">
        <f>G69*(1-0.215927209705373)</f>
        <v>0</v>
      </c>
      <c r="AQ69" s="30" t="s">
        <v>6</v>
      </c>
      <c r="AV69" s="33">
        <f t="shared" si="65"/>
        <v>0</v>
      </c>
      <c r="AW69" s="33">
        <f t="shared" si="66"/>
        <v>0</v>
      </c>
      <c r="AX69" s="33">
        <f t="shared" si="67"/>
        <v>0</v>
      </c>
      <c r="AY69" s="34" t="s">
        <v>574</v>
      </c>
      <c r="AZ69" s="34" t="s">
        <v>588</v>
      </c>
      <c r="BA69" s="25" t="s">
        <v>601</v>
      </c>
      <c r="BC69" s="33">
        <f t="shared" si="68"/>
        <v>0</v>
      </c>
      <c r="BD69" s="33">
        <f t="shared" si="69"/>
        <v>0</v>
      </c>
      <c r="BE69" s="33">
        <v>0</v>
      </c>
      <c r="BF69" s="33">
        <f t="shared" si="70"/>
        <v>0.00128</v>
      </c>
      <c r="BH69" s="18">
        <f t="shared" si="71"/>
        <v>0</v>
      </c>
      <c r="BI69" s="18">
        <f t="shared" si="72"/>
        <v>0</v>
      </c>
      <c r="BJ69" s="18">
        <f t="shared" si="73"/>
        <v>0</v>
      </c>
    </row>
    <row r="70" spans="1:62" ht="12.75">
      <c r="A70" s="86" t="s">
        <v>56</v>
      </c>
      <c r="B70" s="86" t="s">
        <v>198</v>
      </c>
      <c r="C70" s="86" t="s">
        <v>251</v>
      </c>
      <c r="D70" s="86" t="s">
        <v>404</v>
      </c>
      <c r="E70" s="86" t="s">
        <v>534</v>
      </c>
      <c r="F70" s="87">
        <v>20</v>
      </c>
      <c r="G70" s="87"/>
      <c r="H70" s="87">
        <f t="shared" si="50"/>
        <v>0</v>
      </c>
      <c r="I70" s="87">
        <f t="shared" si="51"/>
        <v>0</v>
      </c>
      <c r="J70" s="87">
        <f t="shared" si="52"/>
        <v>0</v>
      </c>
      <c r="K70" s="88">
        <f>IF(J250=0,0,J70/J250)</f>
        <v>0</v>
      </c>
      <c r="L70" s="87">
        <v>0</v>
      </c>
      <c r="M70" s="87">
        <f t="shared" si="53"/>
        <v>0</v>
      </c>
      <c r="N70" s="89" t="s">
        <v>559</v>
      </c>
      <c r="Z70" s="33">
        <f t="shared" si="54"/>
        <v>0</v>
      </c>
      <c r="AB70" s="33">
        <f t="shared" si="55"/>
        <v>0</v>
      </c>
      <c r="AC70" s="33">
        <f t="shared" si="56"/>
        <v>0</v>
      </c>
      <c r="AD70" s="33">
        <f t="shared" si="57"/>
        <v>0</v>
      </c>
      <c r="AE70" s="33">
        <f t="shared" si="58"/>
        <v>0</v>
      </c>
      <c r="AF70" s="33">
        <f t="shared" si="59"/>
        <v>0</v>
      </c>
      <c r="AG70" s="33">
        <f t="shared" si="60"/>
        <v>0</v>
      </c>
      <c r="AH70" s="33">
        <f t="shared" si="61"/>
        <v>0</v>
      </c>
      <c r="AI70" s="25" t="s">
        <v>198</v>
      </c>
      <c r="AJ70" s="18">
        <f t="shared" si="62"/>
        <v>0</v>
      </c>
      <c r="AK70" s="18">
        <f t="shared" si="63"/>
        <v>0</v>
      </c>
      <c r="AL70" s="18">
        <f t="shared" si="64"/>
        <v>0</v>
      </c>
      <c r="AN70" s="33">
        <v>21</v>
      </c>
      <c r="AO70" s="33">
        <f>G70*0</f>
        <v>0</v>
      </c>
      <c r="AP70" s="33">
        <f>G70*(1-0)</f>
        <v>0</v>
      </c>
      <c r="AQ70" s="30" t="s">
        <v>6</v>
      </c>
      <c r="AV70" s="33">
        <f t="shared" si="65"/>
        <v>0</v>
      </c>
      <c r="AW70" s="33">
        <f t="shared" si="66"/>
        <v>0</v>
      </c>
      <c r="AX70" s="33">
        <f t="shared" si="67"/>
        <v>0</v>
      </c>
      <c r="AY70" s="34" t="s">
        <v>574</v>
      </c>
      <c r="AZ70" s="34" t="s">
        <v>588</v>
      </c>
      <c r="BA70" s="25" t="s">
        <v>601</v>
      </c>
      <c r="BC70" s="33">
        <f t="shared" si="68"/>
        <v>0</v>
      </c>
      <c r="BD70" s="33">
        <f t="shared" si="69"/>
        <v>0</v>
      </c>
      <c r="BE70" s="33">
        <v>0</v>
      </c>
      <c r="BF70" s="33">
        <f t="shared" si="70"/>
        <v>0</v>
      </c>
      <c r="BH70" s="18">
        <f t="shared" si="71"/>
        <v>0</v>
      </c>
      <c r="BI70" s="18">
        <f t="shared" si="72"/>
        <v>0</v>
      </c>
      <c r="BJ70" s="18">
        <f t="shared" si="73"/>
        <v>0</v>
      </c>
    </row>
    <row r="71" spans="1:62" ht="12.75">
      <c r="A71" s="82" t="s">
        <v>57</v>
      </c>
      <c r="B71" s="82" t="s">
        <v>198</v>
      </c>
      <c r="C71" s="82" t="s">
        <v>252</v>
      </c>
      <c r="D71" s="82" t="s">
        <v>405</v>
      </c>
      <c r="E71" s="82" t="s">
        <v>533</v>
      </c>
      <c r="F71" s="83">
        <v>20</v>
      </c>
      <c r="G71" s="83"/>
      <c r="H71" s="83">
        <f t="shared" si="50"/>
        <v>0</v>
      </c>
      <c r="I71" s="83">
        <f t="shared" si="51"/>
        <v>0</v>
      </c>
      <c r="J71" s="83">
        <f t="shared" si="52"/>
        <v>0</v>
      </c>
      <c r="K71" s="84">
        <f>IF(J250=0,0,J71/J250)</f>
        <v>0</v>
      </c>
      <c r="L71" s="83">
        <v>0</v>
      </c>
      <c r="M71" s="83">
        <f t="shared" si="53"/>
        <v>0</v>
      </c>
      <c r="N71" s="85"/>
      <c r="Z71" s="33">
        <f t="shared" si="54"/>
        <v>0</v>
      </c>
      <c r="AB71" s="33">
        <f t="shared" si="55"/>
        <v>0</v>
      </c>
      <c r="AC71" s="33">
        <f t="shared" si="56"/>
        <v>0</v>
      </c>
      <c r="AD71" s="33">
        <f t="shared" si="57"/>
        <v>0</v>
      </c>
      <c r="AE71" s="33">
        <f t="shared" si="58"/>
        <v>0</v>
      </c>
      <c r="AF71" s="33">
        <f t="shared" si="59"/>
        <v>0</v>
      </c>
      <c r="AG71" s="33">
        <f t="shared" si="60"/>
        <v>0</v>
      </c>
      <c r="AH71" s="33">
        <f t="shared" si="61"/>
        <v>0</v>
      </c>
      <c r="AI71" s="25" t="s">
        <v>198</v>
      </c>
      <c r="AJ71" s="17">
        <f t="shared" si="62"/>
        <v>0</v>
      </c>
      <c r="AK71" s="17">
        <f t="shared" si="63"/>
        <v>0</v>
      </c>
      <c r="AL71" s="17">
        <f t="shared" si="64"/>
        <v>0</v>
      </c>
      <c r="AN71" s="33">
        <v>21</v>
      </c>
      <c r="AO71" s="33">
        <f>G71*1</f>
        <v>0</v>
      </c>
      <c r="AP71" s="33">
        <f>G71*(1-1)</f>
        <v>0</v>
      </c>
      <c r="AQ71" s="29" t="s">
        <v>6</v>
      </c>
      <c r="AV71" s="33">
        <f t="shared" si="65"/>
        <v>0</v>
      </c>
      <c r="AW71" s="33">
        <f t="shared" si="66"/>
        <v>0</v>
      </c>
      <c r="AX71" s="33">
        <f t="shared" si="67"/>
        <v>0</v>
      </c>
      <c r="AY71" s="34" t="s">
        <v>574</v>
      </c>
      <c r="AZ71" s="34" t="s">
        <v>588</v>
      </c>
      <c r="BA71" s="25" t="s">
        <v>601</v>
      </c>
      <c r="BC71" s="33">
        <f t="shared" si="68"/>
        <v>0</v>
      </c>
      <c r="BD71" s="33">
        <f t="shared" si="69"/>
        <v>0</v>
      </c>
      <c r="BE71" s="33">
        <v>0</v>
      </c>
      <c r="BF71" s="33">
        <f t="shared" si="70"/>
        <v>0</v>
      </c>
      <c r="BH71" s="17">
        <f t="shared" si="71"/>
        <v>0</v>
      </c>
      <c r="BI71" s="17">
        <f t="shared" si="72"/>
        <v>0</v>
      </c>
      <c r="BJ71" s="17">
        <f t="shared" si="73"/>
        <v>0</v>
      </c>
    </row>
    <row r="72" spans="1:62" ht="12.75">
      <c r="A72" s="86" t="s">
        <v>58</v>
      </c>
      <c r="B72" s="86" t="s">
        <v>198</v>
      </c>
      <c r="C72" s="86" t="s">
        <v>253</v>
      </c>
      <c r="D72" s="86" t="s">
        <v>406</v>
      </c>
      <c r="E72" s="86" t="s">
        <v>534</v>
      </c>
      <c r="F72" s="87">
        <v>31</v>
      </c>
      <c r="G72" s="87"/>
      <c r="H72" s="87">
        <f t="shared" si="50"/>
        <v>0</v>
      </c>
      <c r="I72" s="87">
        <f t="shared" si="51"/>
        <v>0</v>
      </c>
      <c r="J72" s="87">
        <f t="shared" si="52"/>
        <v>0</v>
      </c>
      <c r="K72" s="88">
        <f>IF(J250=0,0,J72/J250)</f>
        <v>0</v>
      </c>
      <c r="L72" s="87">
        <v>0</v>
      </c>
      <c r="M72" s="87">
        <f t="shared" si="53"/>
        <v>0</v>
      </c>
      <c r="N72" s="89" t="s">
        <v>559</v>
      </c>
      <c r="Z72" s="33">
        <f t="shared" si="54"/>
        <v>0</v>
      </c>
      <c r="AB72" s="33">
        <f t="shared" si="55"/>
        <v>0</v>
      </c>
      <c r="AC72" s="33">
        <f t="shared" si="56"/>
        <v>0</v>
      </c>
      <c r="AD72" s="33">
        <f t="shared" si="57"/>
        <v>0</v>
      </c>
      <c r="AE72" s="33">
        <f t="shared" si="58"/>
        <v>0</v>
      </c>
      <c r="AF72" s="33">
        <f t="shared" si="59"/>
        <v>0</v>
      </c>
      <c r="AG72" s="33">
        <f t="shared" si="60"/>
        <v>0</v>
      </c>
      <c r="AH72" s="33">
        <f t="shared" si="61"/>
        <v>0</v>
      </c>
      <c r="AI72" s="25" t="s">
        <v>198</v>
      </c>
      <c r="AJ72" s="18">
        <f t="shared" si="62"/>
        <v>0</v>
      </c>
      <c r="AK72" s="18">
        <f t="shared" si="63"/>
        <v>0</v>
      </c>
      <c r="AL72" s="18">
        <f t="shared" si="64"/>
        <v>0</v>
      </c>
      <c r="AN72" s="33">
        <v>21</v>
      </c>
      <c r="AO72" s="33">
        <f>G72*0</f>
        <v>0</v>
      </c>
      <c r="AP72" s="33">
        <f>G72*(1-0)</f>
        <v>0</v>
      </c>
      <c r="AQ72" s="30" t="s">
        <v>6</v>
      </c>
      <c r="AV72" s="33">
        <f t="shared" si="65"/>
        <v>0</v>
      </c>
      <c r="AW72" s="33">
        <f t="shared" si="66"/>
        <v>0</v>
      </c>
      <c r="AX72" s="33">
        <f t="shared" si="67"/>
        <v>0</v>
      </c>
      <c r="AY72" s="34" t="s">
        <v>574</v>
      </c>
      <c r="AZ72" s="34" t="s">
        <v>588</v>
      </c>
      <c r="BA72" s="25" t="s">
        <v>601</v>
      </c>
      <c r="BC72" s="33">
        <f t="shared" si="68"/>
        <v>0</v>
      </c>
      <c r="BD72" s="33">
        <f t="shared" si="69"/>
        <v>0</v>
      </c>
      <c r="BE72" s="33">
        <v>0</v>
      </c>
      <c r="BF72" s="33">
        <f t="shared" si="70"/>
        <v>0</v>
      </c>
      <c r="BH72" s="18">
        <f t="shared" si="71"/>
        <v>0</v>
      </c>
      <c r="BI72" s="18">
        <f t="shared" si="72"/>
        <v>0</v>
      </c>
      <c r="BJ72" s="18">
        <f t="shared" si="73"/>
        <v>0</v>
      </c>
    </row>
    <row r="73" spans="1:62" ht="12.75">
      <c r="A73" s="82" t="s">
        <v>59</v>
      </c>
      <c r="B73" s="82" t="s">
        <v>198</v>
      </c>
      <c r="C73" s="82" t="s">
        <v>254</v>
      </c>
      <c r="D73" s="82" t="s">
        <v>407</v>
      </c>
      <c r="E73" s="82" t="s">
        <v>533</v>
      </c>
      <c r="F73" s="83">
        <v>31</v>
      </c>
      <c r="G73" s="83"/>
      <c r="H73" s="83">
        <f t="shared" si="50"/>
        <v>0</v>
      </c>
      <c r="I73" s="83">
        <f t="shared" si="51"/>
        <v>0</v>
      </c>
      <c r="J73" s="83">
        <f t="shared" si="52"/>
        <v>0</v>
      </c>
      <c r="K73" s="84">
        <f>IF(J250=0,0,J73/J250)</f>
        <v>0</v>
      </c>
      <c r="L73" s="83">
        <v>0</v>
      </c>
      <c r="M73" s="83">
        <f t="shared" si="53"/>
        <v>0</v>
      </c>
      <c r="N73" s="85"/>
      <c r="Z73" s="33">
        <f t="shared" si="54"/>
        <v>0</v>
      </c>
      <c r="AB73" s="33">
        <f t="shared" si="55"/>
        <v>0</v>
      </c>
      <c r="AC73" s="33">
        <f t="shared" si="56"/>
        <v>0</v>
      </c>
      <c r="AD73" s="33">
        <f t="shared" si="57"/>
        <v>0</v>
      </c>
      <c r="AE73" s="33">
        <f t="shared" si="58"/>
        <v>0</v>
      </c>
      <c r="AF73" s="33">
        <f t="shared" si="59"/>
        <v>0</v>
      </c>
      <c r="AG73" s="33">
        <f t="shared" si="60"/>
        <v>0</v>
      </c>
      <c r="AH73" s="33">
        <f t="shared" si="61"/>
        <v>0</v>
      </c>
      <c r="AI73" s="25" t="s">
        <v>198</v>
      </c>
      <c r="AJ73" s="17">
        <f t="shared" si="62"/>
        <v>0</v>
      </c>
      <c r="AK73" s="17">
        <f t="shared" si="63"/>
        <v>0</v>
      </c>
      <c r="AL73" s="17">
        <f t="shared" si="64"/>
        <v>0</v>
      </c>
      <c r="AN73" s="33">
        <v>21</v>
      </c>
      <c r="AO73" s="33">
        <f>G73*1</f>
        <v>0</v>
      </c>
      <c r="AP73" s="33">
        <f>G73*(1-1)</f>
        <v>0</v>
      </c>
      <c r="AQ73" s="29" t="s">
        <v>6</v>
      </c>
      <c r="AV73" s="33">
        <f t="shared" si="65"/>
        <v>0</v>
      </c>
      <c r="AW73" s="33">
        <f t="shared" si="66"/>
        <v>0</v>
      </c>
      <c r="AX73" s="33">
        <f t="shared" si="67"/>
        <v>0</v>
      </c>
      <c r="AY73" s="34" t="s">
        <v>574</v>
      </c>
      <c r="AZ73" s="34" t="s">
        <v>588</v>
      </c>
      <c r="BA73" s="25" t="s">
        <v>601</v>
      </c>
      <c r="BC73" s="33">
        <f t="shared" si="68"/>
        <v>0</v>
      </c>
      <c r="BD73" s="33">
        <f t="shared" si="69"/>
        <v>0</v>
      </c>
      <c r="BE73" s="33">
        <v>0</v>
      </c>
      <c r="BF73" s="33">
        <f t="shared" si="70"/>
        <v>0</v>
      </c>
      <c r="BH73" s="17">
        <f t="shared" si="71"/>
        <v>0</v>
      </c>
      <c r="BI73" s="17">
        <f t="shared" si="72"/>
        <v>0</v>
      </c>
      <c r="BJ73" s="17">
        <f t="shared" si="73"/>
        <v>0</v>
      </c>
    </row>
    <row r="74" spans="1:62" ht="12.75">
      <c r="A74" s="86" t="s">
        <v>60</v>
      </c>
      <c r="B74" s="86" t="s">
        <v>198</v>
      </c>
      <c r="C74" s="86" t="s">
        <v>255</v>
      </c>
      <c r="D74" s="86" t="s">
        <v>408</v>
      </c>
      <c r="E74" s="86" t="s">
        <v>528</v>
      </c>
      <c r="F74" s="87">
        <v>247.4</v>
      </c>
      <c r="G74" s="87"/>
      <c r="H74" s="87">
        <f t="shared" si="50"/>
        <v>0</v>
      </c>
      <c r="I74" s="87">
        <f t="shared" si="51"/>
        <v>0</v>
      </c>
      <c r="J74" s="87">
        <f t="shared" si="52"/>
        <v>0</v>
      </c>
      <c r="K74" s="88">
        <f>IF(J250=0,0,J74/J250)</f>
        <v>0</v>
      </c>
      <c r="L74" s="87">
        <v>0</v>
      </c>
      <c r="M74" s="87">
        <f t="shared" si="53"/>
        <v>0</v>
      </c>
      <c r="N74" s="89" t="s">
        <v>559</v>
      </c>
      <c r="Z74" s="33">
        <f t="shared" si="54"/>
        <v>0</v>
      </c>
      <c r="AB74" s="33">
        <f t="shared" si="55"/>
        <v>0</v>
      </c>
      <c r="AC74" s="33">
        <f t="shared" si="56"/>
        <v>0</v>
      </c>
      <c r="AD74" s="33">
        <f t="shared" si="57"/>
        <v>0</v>
      </c>
      <c r="AE74" s="33">
        <f t="shared" si="58"/>
        <v>0</v>
      </c>
      <c r="AF74" s="33">
        <f t="shared" si="59"/>
        <v>0</v>
      </c>
      <c r="AG74" s="33">
        <f t="shared" si="60"/>
        <v>0</v>
      </c>
      <c r="AH74" s="33">
        <f t="shared" si="61"/>
        <v>0</v>
      </c>
      <c r="AI74" s="25" t="s">
        <v>198</v>
      </c>
      <c r="AJ74" s="18">
        <f t="shared" si="62"/>
        <v>0</v>
      </c>
      <c r="AK74" s="18">
        <f t="shared" si="63"/>
        <v>0</v>
      </c>
      <c r="AL74" s="18">
        <f t="shared" si="64"/>
        <v>0</v>
      </c>
      <c r="AN74" s="33">
        <v>21</v>
      </c>
      <c r="AO74" s="33">
        <f>G74*0</f>
        <v>0</v>
      </c>
      <c r="AP74" s="33">
        <f>G74*(1-0)</f>
        <v>0</v>
      </c>
      <c r="AQ74" s="30" t="s">
        <v>6</v>
      </c>
      <c r="AV74" s="33">
        <f t="shared" si="65"/>
        <v>0</v>
      </c>
      <c r="AW74" s="33">
        <f t="shared" si="66"/>
        <v>0</v>
      </c>
      <c r="AX74" s="33">
        <f t="shared" si="67"/>
        <v>0</v>
      </c>
      <c r="AY74" s="34" t="s">
        <v>574</v>
      </c>
      <c r="AZ74" s="34" t="s">
        <v>588</v>
      </c>
      <c r="BA74" s="25" t="s">
        <v>601</v>
      </c>
      <c r="BC74" s="33">
        <f t="shared" si="68"/>
        <v>0</v>
      </c>
      <c r="BD74" s="33">
        <f t="shared" si="69"/>
        <v>0</v>
      </c>
      <c r="BE74" s="33">
        <v>0</v>
      </c>
      <c r="BF74" s="33">
        <f t="shared" si="70"/>
        <v>0</v>
      </c>
      <c r="BH74" s="18">
        <f t="shared" si="71"/>
        <v>0</v>
      </c>
      <c r="BI74" s="18">
        <f t="shared" si="72"/>
        <v>0</v>
      </c>
      <c r="BJ74" s="18">
        <f t="shared" si="73"/>
        <v>0</v>
      </c>
    </row>
    <row r="75" spans="1:62" ht="12.75">
      <c r="A75" s="86" t="s">
        <v>61</v>
      </c>
      <c r="B75" s="86" t="s">
        <v>198</v>
      </c>
      <c r="C75" s="86" t="s">
        <v>256</v>
      </c>
      <c r="D75" s="86" t="s">
        <v>409</v>
      </c>
      <c r="E75" s="86" t="s">
        <v>530</v>
      </c>
      <c r="F75" s="87">
        <v>24.7</v>
      </c>
      <c r="G75" s="87"/>
      <c r="H75" s="87">
        <f t="shared" si="50"/>
        <v>0</v>
      </c>
      <c r="I75" s="87">
        <f t="shared" si="51"/>
        <v>0</v>
      </c>
      <c r="J75" s="87">
        <f t="shared" si="52"/>
        <v>0</v>
      </c>
      <c r="K75" s="88">
        <f>IF(J250=0,0,J75/J250)</f>
        <v>0</v>
      </c>
      <c r="L75" s="87">
        <v>1.1322</v>
      </c>
      <c r="M75" s="87">
        <f t="shared" si="53"/>
        <v>27.96534</v>
      </c>
      <c r="N75" s="89" t="s">
        <v>559</v>
      </c>
      <c r="Z75" s="33">
        <f t="shared" si="54"/>
        <v>0</v>
      </c>
      <c r="AB75" s="33">
        <f t="shared" si="55"/>
        <v>0</v>
      </c>
      <c r="AC75" s="33">
        <f t="shared" si="56"/>
        <v>0</v>
      </c>
      <c r="AD75" s="33">
        <f t="shared" si="57"/>
        <v>0</v>
      </c>
      <c r="AE75" s="33">
        <f t="shared" si="58"/>
        <v>0</v>
      </c>
      <c r="AF75" s="33">
        <f t="shared" si="59"/>
        <v>0</v>
      </c>
      <c r="AG75" s="33">
        <f t="shared" si="60"/>
        <v>0</v>
      </c>
      <c r="AH75" s="33">
        <f t="shared" si="61"/>
        <v>0</v>
      </c>
      <c r="AI75" s="25" t="s">
        <v>198</v>
      </c>
      <c r="AJ75" s="18">
        <f t="shared" si="62"/>
        <v>0</v>
      </c>
      <c r="AK75" s="18">
        <f t="shared" si="63"/>
        <v>0</v>
      </c>
      <c r="AL75" s="18">
        <f t="shared" si="64"/>
        <v>0</v>
      </c>
      <c r="AN75" s="33">
        <v>21</v>
      </c>
      <c r="AO75" s="33">
        <f>G75*0.511260105046814</f>
        <v>0</v>
      </c>
      <c r="AP75" s="33">
        <f>G75*(1-0.511260105046814)</f>
        <v>0</v>
      </c>
      <c r="AQ75" s="30" t="s">
        <v>6</v>
      </c>
      <c r="AV75" s="33">
        <f t="shared" si="65"/>
        <v>0</v>
      </c>
      <c r="AW75" s="33">
        <f t="shared" si="66"/>
        <v>0</v>
      </c>
      <c r="AX75" s="33">
        <f t="shared" si="67"/>
        <v>0</v>
      </c>
      <c r="AY75" s="34" t="s">
        <v>574</v>
      </c>
      <c r="AZ75" s="34" t="s">
        <v>588</v>
      </c>
      <c r="BA75" s="25" t="s">
        <v>601</v>
      </c>
      <c r="BC75" s="33">
        <f t="shared" si="68"/>
        <v>0</v>
      </c>
      <c r="BD75" s="33">
        <f t="shared" si="69"/>
        <v>0</v>
      </c>
      <c r="BE75" s="33">
        <v>0</v>
      </c>
      <c r="BF75" s="33">
        <f t="shared" si="70"/>
        <v>27.96534</v>
      </c>
      <c r="BH75" s="18">
        <f t="shared" si="71"/>
        <v>0</v>
      </c>
      <c r="BI75" s="18">
        <f t="shared" si="72"/>
        <v>0</v>
      </c>
      <c r="BJ75" s="18">
        <f t="shared" si="73"/>
        <v>0</v>
      </c>
    </row>
    <row r="76" spans="1:62" ht="12.75">
      <c r="A76" s="86" t="s">
        <v>62</v>
      </c>
      <c r="B76" s="86" t="s">
        <v>198</v>
      </c>
      <c r="C76" s="86" t="s">
        <v>257</v>
      </c>
      <c r="D76" s="86" t="s">
        <v>410</v>
      </c>
      <c r="E76" s="86" t="s">
        <v>530</v>
      </c>
      <c r="F76" s="87">
        <v>74.22</v>
      </c>
      <c r="G76" s="87"/>
      <c r="H76" s="87">
        <f t="shared" si="50"/>
        <v>0</v>
      </c>
      <c r="I76" s="87">
        <f t="shared" si="51"/>
        <v>0</v>
      </c>
      <c r="J76" s="87">
        <f t="shared" si="52"/>
        <v>0</v>
      </c>
      <c r="K76" s="88">
        <f>IF(J250=0,0,J76/J250)</f>
        <v>0</v>
      </c>
      <c r="L76" s="87">
        <v>1.7</v>
      </c>
      <c r="M76" s="87">
        <f t="shared" si="53"/>
        <v>126.17399999999999</v>
      </c>
      <c r="N76" s="89" t="s">
        <v>559</v>
      </c>
      <c r="Z76" s="33">
        <f t="shared" si="54"/>
        <v>0</v>
      </c>
      <c r="AB76" s="33">
        <f t="shared" si="55"/>
        <v>0</v>
      </c>
      <c r="AC76" s="33">
        <f t="shared" si="56"/>
        <v>0</v>
      </c>
      <c r="AD76" s="33">
        <f t="shared" si="57"/>
        <v>0</v>
      </c>
      <c r="AE76" s="33">
        <f t="shared" si="58"/>
        <v>0</v>
      </c>
      <c r="AF76" s="33">
        <f t="shared" si="59"/>
        <v>0</v>
      </c>
      <c r="AG76" s="33">
        <f t="shared" si="60"/>
        <v>0</v>
      </c>
      <c r="AH76" s="33">
        <f t="shared" si="61"/>
        <v>0</v>
      </c>
      <c r="AI76" s="25" t="s">
        <v>198</v>
      </c>
      <c r="AJ76" s="18">
        <f t="shared" si="62"/>
        <v>0</v>
      </c>
      <c r="AK76" s="18">
        <f t="shared" si="63"/>
        <v>0</v>
      </c>
      <c r="AL76" s="18">
        <f t="shared" si="64"/>
        <v>0</v>
      </c>
      <c r="AN76" s="33">
        <v>21</v>
      </c>
      <c r="AO76" s="33">
        <f>G76*0.481871148810621</f>
        <v>0</v>
      </c>
      <c r="AP76" s="33">
        <f>G76*(1-0.481871148810621)</f>
        <v>0</v>
      </c>
      <c r="AQ76" s="30" t="s">
        <v>6</v>
      </c>
      <c r="AV76" s="33">
        <f t="shared" si="65"/>
        <v>0</v>
      </c>
      <c r="AW76" s="33">
        <f t="shared" si="66"/>
        <v>0</v>
      </c>
      <c r="AX76" s="33">
        <f t="shared" si="67"/>
        <v>0</v>
      </c>
      <c r="AY76" s="34" t="s">
        <v>574</v>
      </c>
      <c r="AZ76" s="34" t="s">
        <v>588</v>
      </c>
      <c r="BA76" s="25" t="s">
        <v>601</v>
      </c>
      <c r="BC76" s="33">
        <f t="shared" si="68"/>
        <v>0</v>
      </c>
      <c r="BD76" s="33">
        <f t="shared" si="69"/>
        <v>0</v>
      </c>
      <c r="BE76" s="33">
        <v>0</v>
      </c>
      <c r="BF76" s="33">
        <f t="shared" si="70"/>
        <v>126.17399999999999</v>
      </c>
      <c r="BH76" s="18">
        <f t="shared" si="71"/>
        <v>0</v>
      </c>
      <c r="BI76" s="18">
        <f t="shared" si="72"/>
        <v>0</v>
      </c>
      <c r="BJ76" s="18">
        <f t="shared" si="73"/>
        <v>0</v>
      </c>
    </row>
    <row r="77" spans="1:14" ht="12.75">
      <c r="A77" s="95"/>
      <c r="B77" s="95"/>
      <c r="C77" s="95"/>
      <c r="D77" s="96" t="s">
        <v>411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1:62" ht="12.75">
      <c r="A78" s="86" t="s">
        <v>63</v>
      </c>
      <c r="B78" s="86" t="s">
        <v>198</v>
      </c>
      <c r="C78" s="86" t="s">
        <v>258</v>
      </c>
      <c r="D78" s="86" t="s">
        <v>412</v>
      </c>
      <c r="E78" s="86" t="s">
        <v>530</v>
      </c>
      <c r="F78" s="87">
        <v>247</v>
      </c>
      <c r="G78" s="87"/>
      <c r="H78" s="87">
        <f aca="true" t="shared" si="76" ref="H78:H92">F78*AO78</f>
        <v>0</v>
      </c>
      <c r="I78" s="87">
        <f aca="true" t="shared" si="77" ref="I78:I92">F78*AP78</f>
        <v>0</v>
      </c>
      <c r="J78" s="87">
        <f aca="true" t="shared" si="78" ref="J78:J92">F78*G78</f>
        <v>0</v>
      </c>
      <c r="K78" s="88">
        <f>IF(J250=0,0,J78/J250)</f>
        <v>0</v>
      </c>
      <c r="L78" s="87">
        <v>0</v>
      </c>
      <c r="M78" s="87">
        <f aca="true" t="shared" si="79" ref="M78:M92">F78*L78</f>
        <v>0</v>
      </c>
      <c r="N78" s="89" t="s">
        <v>559</v>
      </c>
      <c r="Z78" s="33">
        <f aca="true" t="shared" si="80" ref="Z78:Z92">IF(AQ78="5",BJ78,0)</f>
        <v>0</v>
      </c>
      <c r="AB78" s="33">
        <f aca="true" t="shared" si="81" ref="AB78:AB92">IF(AQ78="1",BH78,0)</f>
        <v>0</v>
      </c>
      <c r="AC78" s="33">
        <f aca="true" t="shared" si="82" ref="AC78:AC92">IF(AQ78="1",BI78,0)</f>
        <v>0</v>
      </c>
      <c r="AD78" s="33">
        <f aca="true" t="shared" si="83" ref="AD78:AD92">IF(AQ78="7",BH78,0)</f>
        <v>0</v>
      </c>
      <c r="AE78" s="33">
        <f aca="true" t="shared" si="84" ref="AE78:AE92">IF(AQ78="7",BI78,0)</f>
        <v>0</v>
      </c>
      <c r="AF78" s="33">
        <f aca="true" t="shared" si="85" ref="AF78:AF92">IF(AQ78="2",BH78,0)</f>
        <v>0</v>
      </c>
      <c r="AG78" s="33">
        <f aca="true" t="shared" si="86" ref="AG78:AG92">IF(AQ78="2",BI78,0)</f>
        <v>0</v>
      </c>
      <c r="AH78" s="33">
        <f aca="true" t="shared" si="87" ref="AH78:AH92">IF(AQ78="0",BJ78,0)</f>
        <v>0</v>
      </c>
      <c r="AI78" s="25" t="s">
        <v>198</v>
      </c>
      <c r="AJ78" s="18">
        <f aca="true" t="shared" si="88" ref="AJ78:AJ92">IF(AN78=0,J78,0)</f>
        <v>0</v>
      </c>
      <c r="AK78" s="18">
        <f aca="true" t="shared" si="89" ref="AK78:AK92">IF(AN78=15,J78,0)</f>
        <v>0</v>
      </c>
      <c r="AL78" s="18">
        <f aca="true" t="shared" si="90" ref="AL78:AL92">IF(AN78=21,J78,0)</f>
        <v>0</v>
      </c>
      <c r="AN78" s="33">
        <v>21</v>
      </c>
      <c r="AO78" s="33">
        <f>G78*0</f>
        <v>0</v>
      </c>
      <c r="AP78" s="33">
        <f>G78*(1-0)</f>
        <v>0</v>
      </c>
      <c r="AQ78" s="30" t="s">
        <v>6</v>
      </c>
      <c r="AV78" s="33">
        <f aca="true" t="shared" si="91" ref="AV78:AV92">AW78+AX78</f>
        <v>0</v>
      </c>
      <c r="AW78" s="33">
        <f aca="true" t="shared" si="92" ref="AW78:AW92">F78*AO78</f>
        <v>0</v>
      </c>
      <c r="AX78" s="33">
        <f aca="true" t="shared" si="93" ref="AX78:AX92">F78*AP78</f>
        <v>0</v>
      </c>
      <c r="AY78" s="34" t="s">
        <v>574</v>
      </c>
      <c r="AZ78" s="34" t="s">
        <v>588</v>
      </c>
      <c r="BA78" s="25" t="s">
        <v>601</v>
      </c>
      <c r="BC78" s="33">
        <f aca="true" t="shared" si="94" ref="BC78:BC92">AW78+AX78</f>
        <v>0</v>
      </c>
      <c r="BD78" s="33">
        <f aca="true" t="shared" si="95" ref="BD78:BD92">G78/(100-BE78)*100</f>
        <v>0</v>
      </c>
      <c r="BE78" s="33">
        <v>0</v>
      </c>
      <c r="BF78" s="33">
        <f aca="true" t="shared" si="96" ref="BF78:BF92">M78</f>
        <v>0</v>
      </c>
      <c r="BH78" s="18">
        <f aca="true" t="shared" si="97" ref="BH78:BH92">F78*AO78</f>
        <v>0</v>
      </c>
      <c r="BI78" s="18">
        <f aca="true" t="shared" si="98" ref="BI78:BI92">F78*AP78</f>
        <v>0</v>
      </c>
      <c r="BJ78" s="18">
        <f aca="true" t="shared" si="99" ref="BJ78:BJ92">F78*G78</f>
        <v>0</v>
      </c>
    </row>
    <row r="79" spans="1:62" ht="12.75">
      <c r="A79" s="82" t="s">
        <v>64</v>
      </c>
      <c r="B79" s="82" t="s">
        <v>198</v>
      </c>
      <c r="C79" s="82" t="s">
        <v>259</v>
      </c>
      <c r="D79" s="82" t="s">
        <v>413</v>
      </c>
      <c r="E79" s="82" t="s">
        <v>529</v>
      </c>
      <c r="F79" s="83">
        <v>419.9</v>
      </c>
      <c r="G79" s="83"/>
      <c r="H79" s="83">
        <f t="shared" si="76"/>
        <v>0</v>
      </c>
      <c r="I79" s="83">
        <f t="shared" si="77"/>
        <v>0</v>
      </c>
      <c r="J79" s="83">
        <f t="shared" si="78"/>
        <v>0</v>
      </c>
      <c r="K79" s="84">
        <f>IF(J250=0,0,J79/J250)</f>
        <v>0</v>
      </c>
      <c r="L79" s="83">
        <v>1</v>
      </c>
      <c r="M79" s="83">
        <f t="shared" si="79"/>
        <v>419.9</v>
      </c>
      <c r="N79" s="85" t="s">
        <v>559</v>
      </c>
      <c r="Z79" s="33">
        <f t="shared" si="80"/>
        <v>0</v>
      </c>
      <c r="AB79" s="33">
        <f t="shared" si="81"/>
        <v>0</v>
      </c>
      <c r="AC79" s="33">
        <f t="shared" si="82"/>
        <v>0</v>
      </c>
      <c r="AD79" s="33">
        <f t="shared" si="83"/>
        <v>0</v>
      </c>
      <c r="AE79" s="33">
        <f t="shared" si="84"/>
        <v>0</v>
      </c>
      <c r="AF79" s="33">
        <f t="shared" si="85"/>
        <v>0</v>
      </c>
      <c r="AG79" s="33">
        <f t="shared" si="86"/>
        <v>0</v>
      </c>
      <c r="AH79" s="33">
        <f t="shared" si="87"/>
        <v>0</v>
      </c>
      <c r="AI79" s="25" t="s">
        <v>198</v>
      </c>
      <c r="AJ79" s="17">
        <f t="shared" si="88"/>
        <v>0</v>
      </c>
      <c r="AK79" s="17">
        <f t="shared" si="89"/>
        <v>0</v>
      </c>
      <c r="AL79" s="17">
        <f t="shared" si="90"/>
        <v>0</v>
      </c>
      <c r="AN79" s="33">
        <v>21</v>
      </c>
      <c r="AO79" s="33">
        <f>G79*1</f>
        <v>0</v>
      </c>
      <c r="AP79" s="33">
        <f>G79*(1-1)</f>
        <v>0</v>
      </c>
      <c r="AQ79" s="29" t="s">
        <v>6</v>
      </c>
      <c r="AV79" s="33">
        <f t="shared" si="91"/>
        <v>0</v>
      </c>
      <c r="AW79" s="33">
        <f t="shared" si="92"/>
        <v>0</v>
      </c>
      <c r="AX79" s="33">
        <f t="shared" si="93"/>
        <v>0</v>
      </c>
      <c r="AY79" s="34" t="s">
        <v>574</v>
      </c>
      <c r="AZ79" s="34" t="s">
        <v>588</v>
      </c>
      <c r="BA79" s="25" t="s">
        <v>601</v>
      </c>
      <c r="BC79" s="33">
        <f t="shared" si="94"/>
        <v>0</v>
      </c>
      <c r="BD79" s="33">
        <f t="shared" si="95"/>
        <v>0</v>
      </c>
      <c r="BE79" s="33">
        <v>0</v>
      </c>
      <c r="BF79" s="33">
        <f t="shared" si="96"/>
        <v>419.9</v>
      </c>
      <c r="BH79" s="17">
        <f t="shared" si="97"/>
        <v>0</v>
      </c>
      <c r="BI79" s="17">
        <f t="shared" si="98"/>
        <v>0</v>
      </c>
      <c r="BJ79" s="17">
        <f t="shared" si="99"/>
        <v>0</v>
      </c>
    </row>
    <row r="80" spans="1:62" ht="12.75">
      <c r="A80" s="86" t="s">
        <v>65</v>
      </c>
      <c r="B80" s="86" t="s">
        <v>198</v>
      </c>
      <c r="C80" s="86" t="s">
        <v>260</v>
      </c>
      <c r="D80" s="86" t="s">
        <v>414</v>
      </c>
      <c r="E80" s="86" t="s">
        <v>530</v>
      </c>
      <c r="F80" s="87">
        <v>17.05</v>
      </c>
      <c r="G80" s="87"/>
      <c r="H80" s="87">
        <f t="shared" si="76"/>
        <v>0</v>
      </c>
      <c r="I80" s="87">
        <f t="shared" si="77"/>
        <v>0</v>
      </c>
      <c r="J80" s="87">
        <f t="shared" si="78"/>
        <v>0</v>
      </c>
      <c r="K80" s="88">
        <f>IF(J250=0,0,J80/J250)</f>
        <v>0</v>
      </c>
      <c r="L80" s="87">
        <v>0</v>
      </c>
      <c r="M80" s="87">
        <f t="shared" si="79"/>
        <v>0</v>
      </c>
      <c r="N80" s="89" t="s">
        <v>559</v>
      </c>
      <c r="Z80" s="33">
        <f t="shared" si="80"/>
        <v>0</v>
      </c>
      <c r="AB80" s="33">
        <f t="shared" si="81"/>
        <v>0</v>
      </c>
      <c r="AC80" s="33">
        <f t="shared" si="82"/>
        <v>0</v>
      </c>
      <c r="AD80" s="33">
        <f t="shared" si="83"/>
        <v>0</v>
      </c>
      <c r="AE80" s="33">
        <f t="shared" si="84"/>
        <v>0</v>
      </c>
      <c r="AF80" s="33">
        <f t="shared" si="85"/>
        <v>0</v>
      </c>
      <c r="AG80" s="33">
        <f t="shared" si="86"/>
        <v>0</v>
      </c>
      <c r="AH80" s="33">
        <f t="shared" si="87"/>
        <v>0</v>
      </c>
      <c r="AI80" s="25" t="s">
        <v>198</v>
      </c>
      <c r="AJ80" s="18">
        <f t="shared" si="88"/>
        <v>0</v>
      </c>
      <c r="AK80" s="18">
        <f t="shared" si="89"/>
        <v>0</v>
      </c>
      <c r="AL80" s="18">
        <f t="shared" si="90"/>
        <v>0</v>
      </c>
      <c r="AN80" s="33">
        <v>21</v>
      </c>
      <c r="AO80" s="33">
        <f>G80*0</f>
        <v>0</v>
      </c>
      <c r="AP80" s="33">
        <f>G80*(1-0)</f>
        <v>0</v>
      </c>
      <c r="AQ80" s="30" t="s">
        <v>6</v>
      </c>
      <c r="AV80" s="33">
        <f t="shared" si="91"/>
        <v>0</v>
      </c>
      <c r="AW80" s="33">
        <f t="shared" si="92"/>
        <v>0</v>
      </c>
      <c r="AX80" s="33">
        <f t="shared" si="93"/>
        <v>0</v>
      </c>
      <c r="AY80" s="34" t="s">
        <v>574</v>
      </c>
      <c r="AZ80" s="34" t="s">
        <v>588</v>
      </c>
      <c r="BA80" s="25" t="s">
        <v>601</v>
      </c>
      <c r="BC80" s="33">
        <f t="shared" si="94"/>
        <v>0</v>
      </c>
      <c r="BD80" s="33">
        <f t="shared" si="95"/>
        <v>0</v>
      </c>
      <c r="BE80" s="33">
        <v>0</v>
      </c>
      <c r="BF80" s="33">
        <f t="shared" si="96"/>
        <v>0</v>
      </c>
      <c r="BH80" s="18">
        <f t="shared" si="97"/>
        <v>0</v>
      </c>
      <c r="BI80" s="18">
        <f t="shared" si="98"/>
        <v>0</v>
      </c>
      <c r="BJ80" s="18">
        <f t="shared" si="99"/>
        <v>0</v>
      </c>
    </row>
    <row r="81" spans="1:62" ht="12.75">
      <c r="A81" s="82" t="s">
        <v>66</v>
      </c>
      <c r="B81" s="82" t="s">
        <v>198</v>
      </c>
      <c r="C81" s="82" t="s">
        <v>261</v>
      </c>
      <c r="D81" s="82" t="s">
        <v>415</v>
      </c>
      <c r="E81" s="82" t="s">
        <v>533</v>
      </c>
      <c r="F81" s="83">
        <v>4</v>
      </c>
      <c r="G81" s="83"/>
      <c r="H81" s="83">
        <f t="shared" si="76"/>
        <v>0</v>
      </c>
      <c r="I81" s="83">
        <f t="shared" si="77"/>
        <v>0</v>
      </c>
      <c r="J81" s="83">
        <f t="shared" si="78"/>
        <v>0</v>
      </c>
      <c r="K81" s="84">
        <f>IF(J250=0,0,J81/J250)</f>
        <v>0</v>
      </c>
      <c r="L81" s="83">
        <v>0.0075</v>
      </c>
      <c r="M81" s="83">
        <f t="shared" si="79"/>
        <v>0.03</v>
      </c>
      <c r="N81" s="85"/>
      <c r="Z81" s="33">
        <f t="shared" si="80"/>
        <v>0</v>
      </c>
      <c r="AB81" s="33">
        <f t="shared" si="81"/>
        <v>0</v>
      </c>
      <c r="AC81" s="33">
        <f t="shared" si="82"/>
        <v>0</v>
      </c>
      <c r="AD81" s="33">
        <f t="shared" si="83"/>
        <v>0</v>
      </c>
      <c r="AE81" s="33">
        <f t="shared" si="84"/>
        <v>0</v>
      </c>
      <c r="AF81" s="33">
        <f t="shared" si="85"/>
        <v>0</v>
      </c>
      <c r="AG81" s="33">
        <f t="shared" si="86"/>
        <v>0</v>
      </c>
      <c r="AH81" s="33">
        <f t="shared" si="87"/>
        <v>0</v>
      </c>
      <c r="AI81" s="25" t="s">
        <v>198</v>
      </c>
      <c r="AJ81" s="17">
        <f t="shared" si="88"/>
        <v>0</v>
      </c>
      <c r="AK81" s="17">
        <f t="shared" si="89"/>
        <v>0</v>
      </c>
      <c r="AL81" s="17">
        <f t="shared" si="90"/>
        <v>0</v>
      </c>
      <c r="AN81" s="33">
        <v>21</v>
      </c>
      <c r="AO81" s="33">
        <f aca="true" t="shared" si="100" ref="AO81:AO86">G81*1</f>
        <v>0</v>
      </c>
      <c r="AP81" s="33">
        <f aca="true" t="shared" si="101" ref="AP81:AP86">G81*(1-1)</f>
        <v>0</v>
      </c>
      <c r="AQ81" s="29" t="s">
        <v>6</v>
      </c>
      <c r="AV81" s="33">
        <f t="shared" si="91"/>
        <v>0</v>
      </c>
      <c r="AW81" s="33">
        <f t="shared" si="92"/>
        <v>0</v>
      </c>
      <c r="AX81" s="33">
        <f t="shared" si="93"/>
        <v>0</v>
      </c>
      <c r="AY81" s="34" t="s">
        <v>574</v>
      </c>
      <c r="AZ81" s="34" t="s">
        <v>588</v>
      </c>
      <c r="BA81" s="25" t="s">
        <v>601</v>
      </c>
      <c r="BC81" s="33">
        <f t="shared" si="94"/>
        <v>0</v>
      </c>
      <c r="BD81" s="33">
        <f t="shared" si="95"/>
        <v>0</v>
      </c>
      <c r="BE81" s="33">
        <v>0</v>
      </c>
      <c r="BF81" s="33">
        <f t="shared" si="96"/>
        <v>0.03</v>
      </c>
      <c r="BH81" s="17">
        <f t="shared" si="97"/>
        <v>0</v>
      </c>
      <c r="BI81" s="17">
        <f t="shared" si="98"/>
        <v>0</v>
      </c>
      <c r="BJ81" s="17">
        <f t="shared" si="99"/>
        <v>0</v>
      </c>
    </row>
    <row r="82" spans="1:62" ht="12.75">
      <c r="A82" s="82" t="s">
        <v>67</v>
      </c>
      <c r="B82" s="82" t="s">
        <v>198</v>
      </c>
      <c r="C82" s="82" t="s">
        <v>262</v>
      </c>
      <c r="D82" s="82" t="s">
        <v>416</v>
      </c>
      <c r="E82" s="82" t="s">
        <v>533</v>
      </c>
      <c r="F82" s="83">
        <v>2</v>
      </c>
      <c r="G82" s="83"/>
      <c r="H82" s="83">
        <f t="shared" si="76"/>
        <v>0</v>
      </c>
      <c r="I82" s="83">
        <f t="shared" si="77"/>
        <v>0</v>
      </c>
      <c r="J82" s="83">
        <f t="shared" si="78"/>
        <v>0</v>
      </c>
      <c r="K82" s="84">
        <f>IF(J250=0,0,J82/J250)</f>
        <v>0</v>
      </c>
      <c r="L82" s="83">
        <v>0</v>
      </c>
      <c r="M82" s="83">
        <f t="shared" si="79"/>
        <v>0</v>
      </c>
      <c r="N82" s="85"/>
      <c r="Z82" s="33">
        <f t="shared" si="80"/>
        <v>0</v>
      </c>
      <c r="AB82" s="33">
        <f t="shared" si="81"/>
        <v>0</v>
      </c>
      <c r="AC82" s="33">
        <f t="shared" si="82"/>
        <v>0</v>
      </c>
      <c r="AD82" s="33">
        <f t="shared" si="83"/>
        <v>0</v>
      </c>
      <c r="AE82" s="33">
        <f t="shared" si="84"/>
        <v>0</v>
      </c>
      <c r="AF82" s="33">
        <f t="shared" si="85"/>
        <v>0</v>
      </c>
      <c r="AG82" s="33">
        <f t="shared" si="86"/>
        <v>0</v>
      </c>
      <c r="AH82" s="33">
        <f t="shared" si="87"/>
        <v>0</v>
      </c>
      <c r="AI82" s="25" t="s">
        <v>198</v>
      </c>
      <c r="AJ82" s="17">
        <f t="shared" si="88"/>
        <v>0</v>
      </c>
      <c r="AK82" s="17">
        <f t="shared" si="89"/>
        <v>0</v>
      </c>
      <c r="AL82" s="17">
        <f t="shared" si="90"/>
        <v>0</v>
      </c>
      <c r="AN82" s="33">
        <v>21</v>
      </c>
      <c r="AO82" s="33">
        <f t="shared" si="100"/>
        <v>0</v>
      </c>
      <c r="AP82" s="33">
        <f t="shared" si="101"/>
        <v>0</v>
      </c>
      <c r="AQ82" s="29" t="s">
        <v>6</v>
      </c>
      <c r="AV82" s="33">
        <f t="shared" si="91"/>
        <v>0</v>
      </c>
      <c r="AW82" s="33">
        <f t="shared" si="92"/>
        <v>0</v>
      </c>
      <c r="AX82" s="33">
        <f t="shared" si="93"/>
        <v>0</v>
      </c>
      <c r="AY82" s="34" t="s">
        <v>574</v>
      </c>
      <c r="AZ82" s="34" t="s">
        <v>588</v>
      </c>
      <c r="BA82" s="25" t="s">
        <v>601</v>
      </c>
      <c r="BC82" s="33">
        <f t="shared" si="94"/>
        <v>0</v>
      </c>
      <c r="BD82" s="33">
        <f t="shared" si="95"/>
        <v>0</v>
      </c>
      <c r="BE82" s="33">
        <v>0</v>
      </c>
      <c r="BF82" s="33">
        <f t="shared" si="96"/>
        <v>0</v>
      </c>
      <c r="BH82" s="17">
        <f t="shared" si="97"/>
        <v>0</v>
      </c>
      <c r="BI82" s="17">
        <f t="shared" si="98"/>
        <v>0</v>
      </c>
      <c r="BJ82" s="17">
        <f t="shared" si="99"/>
        <v>0</v>
      </c>
    </row>
    <row r="83" spans="1:62" ht="12.75">
      <c r="A83" s="82" t="s">
        <v>68</v>
      </c>
      <c r="B83" s="82" t="s">
        <v>198</v>
      </c>
      <c r="C83" s="82" t="s">
        <v>263</v>
      </c>
      <c r="D83" s="82" t="s">
        <v>417</v>
      </c>
      <c r="E83" s="82" t="s">
        <v>533</v>
      </c>
      <c r="F83" s="83">
        <v>1</v>
      </c>
      <c r="G83" s="83"/>
      <c r="H83" s="83">
        <f t="shared" si="76"/>
        <v>0</v>
      </c>
      <c r="I83" s="83">
        <f t="shared" si="77"/>
        <v>0</v>
      </c>
      <c r="J83" s="83">
        <f t="shared" si="78"/>
        <v>0</v>
      </c>
      <c r="K83" s="84">
        <f>IF(J250=0,0,J83/J250)</f>
        <v>0</v>
      </c>
      <c r="L83" s="83">
        <v>0.025</v>
      </c>
      <c r="M83" s="83">
        <f t="shared" si="79"/>
        <v>0.025</v>
      </c>
      <c r="N83" s="85"/>
      <c r="Z83" s="33">
        <f t="shared" si="80"/>
        <v>0</v>
      </c>
      <c r="AB83" s="33">
        <f t="shared" si="81"/>
        <v>0</v>
      </c>
      <c r="AC83" s="33">
        <f t="shared" si="82"/>
        <v>0</v>
      </c>
      <c r="AD83" s="33">
        <f t="shared" si="83"/>
        <v>0</v>
      </c>
      <c r="AE83" s="33">
        <f t="shared" si="84"/>
        <v>0</v>
      </c>
      <c r="AF83" s="33">
        <f t="shared" si="85"/>
        <v>0</v>
      </c>
      <c r="AG83" s="33">
        <f t="shared" si="86"/>
        <v>0</v>
      </c>
      <c r="AH83" s="33">
        <f t="shared" si="87"/>
        <v>0</v>
      </c>
      <c r="AI83" s="25" t="s">
        <v>198</v>
      </c>
      <c r="AJ83" s="17">
        <f t="shared" si="88"/>
        <v>0</v>
      </c>
      <c r="AK83" s="17">
        <f t="shared" si="89"/>
        <v>0</v>
      </c>
      <c r="AL83" s="17">
        <f t="shared" si="90"/>
        <v>0</v>
      </c>
      <c r="AN83" s="33">
        <v>21</v>
      </c>
      <c r="AO83" s="33">
        <f t="shared" si="100"/>
        <v>0</v>
      </c>
      <c r="AP83" s="33">
        <f t="shared" si="101"/>
        <v>0</v>
      </c>
      <c r="AQ83" s="29" t="s">
        <v>6</v>
      </c>
      <c r="AV83" s="33">
        <f t="shared" si="91"/>
        <v>0</v>
      </c>
      <c r="AW83" s="33">
        <f t="shared" si="92"/>
        <v>0</v>
      </c>
      <c r="AX83" s="33">
        <f t="shared" si="93"/>
        <v>0</v>
      </c>
      <c r="AY83" s="34" t="s">
        <v>574</v>
      </c>
      <c r="AZ83" s="34" t="s">
        <v>588</v>
      </c>
      <c r="BA83" s="25" t="s">
        <v>601</v>
      </c>
      <c r="BC83" s="33">
        <f t="shared" si="94"/>
        <v>0</v>
      </c>
      <c r="BD83" s="33">
        <f t="shared" si="95"/>
        <v>0</v>
      </c>
      <c r="BE83" s="33">
        <v>0</v>
      </c>
      <c r="BF83" s="33">
        <f t="shared" si="96"/>
        <v>0.025</v>
      </c>
      <c r="BH83" s="17">
        <f t="shared" si="97"/>
        <v>0</v>
      </c>
      <c r="BI83" s="17">
        <f t="shared" si="98"/>
        <v>0</v>
      </c>
      <c r="BJ83" s="17">
        <f t="shared" si="99"/>
        <v>0</v>
      </c>
    </row>
    <row r="84" spans="1:62" ht="12.75">
      <c r="A84" s="82" t="s">
        <v>69</v>
      </c>
      <c r="B84" s="82" t="s">
        <v>198</v>
      </c>
      <c r="C84" s="82" t="s">
        <v>264</v>
      </c>
      <c r="D84" s="82" t="s">
        <v>418</v>
      </c>
      <c r="E84" s="82" t="s">
        <v>533</v>
      </c>
      <c r="F84" s="83">
        <v>2</v>
      </c>
      <c r="G84" s="83"/>
      <c r="H84" s="83">
        <f t="shared" si="76"/>
        <v>0</v>
      </c>
      <c r="I84" s="83">
        <f t="shared" si="77"/>
        <v>0</v>
      </c>
      <c r="J84" s="83">
        <f t="shared" si="78"/>
        <v>0</v>
      </c>
      <c r="K84" s="84">
        <f>IF(J250=0,0,J84/J250)</f>
        <v>0</v>
      </c>
      <c r="L84" s="83">
        <v>0.025</v>
      </c>
      <c r="M84" s="83">
        <f t="shared" si="79"/>
        <v>0.05</v>
      </c>
      <c r="N84" s="85"/>
      <c r="Z84" s="33">
        <f t="shared" si="80"/>
        <v>0</v>
      </c>
      <c r="AB84" s="33">
        <f t="shared" si="81"/>
        <v>0</v>
      </c>
      <c r="AC84" s="33">
        <f t="shared" si="82"/>
        <v>0</v>
      </c>
      <c r="AD84" s="33">
        <f t="shared" si="83"/>
        <v>0</v>
      </c>
      <c r="AE84" s="33">
        <f t="shared" si="84"/>
        <v>0</v>
      </c>
      <c r="AF84" s="33">
        <f t="shared" si="85"/>
        <v>0</v>
      </c>
      <c r="AG84" s="33">
        <f t="shared" si="86"/>
        <v>0</v>
      </c>
      <c r="AH84" s="33">
        <f t="shared" si="87"/>
        <v>0</v>
      </c>
      <c r="AI84" s="25" t="s">
        <v>198</v>
      </c>
      <c r="AJ84" s="17">
        <f t="shared" si="88"/>
        <v>0</v>
      </c>
      <c r="AK84" s="17">
        <f t="shared" si="89"/>
        <v>0</v>
      </c>
      <c r="AL84" s="17">
        <f t="shared" si="90"/>
        <v>0</v>
      </c>
      <c r="AN84" s="33">
        <v>21</v>
      </c>
      <c r="AO84" s="33">
        <f t="shared" si="100"/>
        <v>0</v>
      </c>
      <c r="AP84" s="33">
        <f t="shared" si="101"/>
        <v>0</v>
      </c>
      <c r="AQ84" s="29" t="s">
        <v>6</v>
      </c>
      <c r="AV84" s="33">
        <f t="shared" si="91"/>
        <v>0</v>
      </c>
      <c r="AW84" s="33">
        <f t="shared" si="92"/>
        <v>0</v>
      </c>
      <c r="AX84" s="33">
        <f t="shared" si="93"/>
        <v>0</v>
      </c>
      <c r="AY84" s="34" t="s">
        <v>574</v>
      </c>
      <c r="AZ84" s="34" t="s">
        <v>588</v>
      </c>
      <c r="BA84" s="25" t="s">
        <v>601</v>
      </c>
      <c r="BC84" s="33">
        <f t="shared" si="94"/>
        <v>0</v>
      </c>
      <c r="BD84" s="33">
        <f t="shared" si="95"/>
        <v>0</v>
      </c>
      <c r="BE84" s="33">
        <v>0</v>
      </c>
      <c r="BF84" s="33">
        <f t="shared" si="96"/>
        <v>0.05</v>
      </c>
      <c r="BH84" s="17">
        <f t="shared" si="97"/>
        <v>0</v>
      </c>
      <c r="BI84" s="17">
        <f t="shared" si="98"/>
        <v>0</v>
      </c>
      <c r="BJ84" s="17">
        <f t="shared" si="99"/>
        <v>0</v>
      </c>
    </row>
    <row r="85" spans="1:62" ht="12.75">
      <c r="A85" s="82" t="s">
        <v>70</v>
      </c>
      <c r="B85" s="82" t="s">
        <v>198</v>
      </c>
      <c r="C85" s="82" t="s">
        <v>263</v>
      </c>
      <c r="D85" s="82" t="s">
        <v>419</v>
      </c>
      <c r="E85" s="82" t="s">
        <v>533</v>
      </c>
      <c r="F85" s="83">
        <v>1</v>
      </c>
      <c r="G85" s="83"/>
      <c r="H85" s="83">
        <f t="shared" si="76"/>
        <v>0</v>
      </c>
      <c r="I85" s="83">
        <f t="shared" si="77"/>
        <v>0</v>
      </c>
      <c r="J85" s="83">
        <f t="shared" si="78"/>
        <v>0</v>
      </c>
      <c r="K85" s="84">
        <f>IF(J250=0,0,J85/J250)</f>
        <v>0</v>
      </c>
      <c r="L85" s="83">
        <v>0.025</v>
      </c>
      <c r="M85" s="83">
        <f t="shared" si="79"/>
        <v>0.025</v>
      </c>
      <c r="N85" s="85"/>
      <c r="Z85" s="33">
        <f t="shared" si="80"/>
        <v>0</v>
      </c>
      <c r="AB85" s="33">
        <f t="shared" si="81"/>
        <v>0</v>
      </c>
      <c r="AC85" s="33">
        <f t="shared" si="82"/>
        <v>0</v>
      </c>
      <c r="AD85" s="33">
        <f t="shared" si="83"/>
        <v>0</v>
      </c>
      <c r="AE85" s="33">
        <f t="shared" si="84"/>
        <v>0</v>
      </c>
      <c r="AF85" s="33">
        <f t="shared" si="85"/>
        <v>0</v>
      </c>
      <c r="AG85" s="33">
        <f t="shared" si="86"/>
        <v>0</v>
      </c>
      <c r="AH85" s="33">
        <f t="shared" si="87"/>
        <v>0</v>
      </c>
      <c r="AI85" s="25" t="s">
        <v>198</v>
      </c>
      <c r="AJ85" s="17">
        <f t="shared" si="88"/>
        <v>0</v>
      </c>
      <c r="AK85" s="17">
        <f t="shared" si="89"/>
        <v>0</v>
      </c>
      <c r="AL85" s="17">
        <f t="shared" si="90"/>
        <v>0</v>
      </c>
      <c r="AN85" s="33">
        <v>21</v>
      </c>
      <c r="AO85" s="33">
        <f t="shared" si="100"/>
        <v>0</v>
      </c>
      <c r="AP85" s="33">
        <f t="shared" si="101"/>
        <v>0</v>
      </c>
      <c r="AQ85" s="29" t="s">
        <v>6</v>
      </c>
      <c r="AV85" s="33">
        <f t="shared" si="91"/>
        <v>0</v>
      </c>
      <c r="AW85" s="33">
        <f t="shared" si="92"/>
        <v>0</v>
      </c>
      <c r="AX85" s="33">
        <f t="shared" si="93"/>
        <v>0</v>
      </c>
      <c r="AY85" s="34" t="s">
        <v>574</v>
      </c>
      <c r="AZ85" s="34" t="s">
        <v>588</v>
      </c>
      <c r="BA85" s="25" t="s">
        <v>601</v>
      </c>
      <c r="BC85" s="33">
        <f t="shared" si="94"/>
        <v>0</v>
      </c>
      <c r="BD85" s="33">
        <f t="shared" si="95"/>
        <v>0</v>
      </c>
      <c r="BE85" s="33">
        <v>0</v>
      </c>
      <c r="BF85" s="33">
        <f t="shared" si="96"/>
        <v>0.025</v>
      </c>
      <c r="BH85" s="17">
        <f t="shared" si="97"/>
        <v>0</v>
      </c>
      <c r="BI85" s="17">
        <f t="shared" si="98"/>
        <v>0</v>
      </c>
      <c r="BJ85" s="17">
        <f t="shared" si="99"/>
        <v>0</v>
      </c>
    </row>
    <row r="86" spans="1:62" ht="12.75">
      <c r="A86" s="82" t="s">
        <v>71</v>
      </c>
      <c r="B86" s="82" t="s">
        <v>198</v>
      </c>
      <c r="C86" s="82" t="s">
        <v>265</v>
      </c>
      <c r="D86" s="82" t="s">
        <v>420</v>
      </c>
      <c r="E86" s="82" t="s">
        <v>533</v>
      </c>
      <c r="F86" s="83">
        <v>2</v>
      </c>
      <c r="G86" s="83"/>
      <c r="H86" s="83">
        <f t="shared" si="76"/>
        <v>0</v>
      </c>
      <c r="I86" s="83">
        <f t="shared" si="77"/>
        <v>0</v>
      </c>
      <c r="J86" s="83">
        <f t="shared" si="78"/>
        <v>0</v>
      </c>
      <c r="K86" s="84">
        <f>IF(J250=0,0,J86/J250)</f>
        <v>0</v>
      </c>
      <c r="L86" s="83">
        <v>0.039</v>
      </c>
      <c r="M86" s="83">
        <f t="shared" si="79"/>
        <v>0.078</v>
      </c>
      <c r="N86" s="85"/>
      <c r="Z86" s="33">
        <f t="shared" si="80"/>
        <v>0</v>
      </c>
      <c r="AB86" s="33">
        <f t="shared" si="81"/>
        <v>0</v>
      </c>
      <c r="AC86" s="33">
        <f t="shared" si="82"/>
        <v>0</v>
      </c>
      <c r="AD86" s="33">
        <f t="shared" si="83"/>
        <v>0</v>
      </c>
      <c r="AE86" s="33">
        <f t="shared" si="84"/>
        <v>0</v>
      </c>
      <c r="AF86" s="33">
        <f t="shared" si="85"/>
        <v>0</v>
      </c>
      <c r="AG86" s="33">
        <f t="shared" si="86"/>
        <v>0</v>
      </c>
      <c r="AH86" s="33">
        <f t="shared" si="87"/>
        <v>0</v>
      </c>
      <c r="AI86" s="25" t="s">
        <v>198</v>
      </c>
      <c r="AJ86" s="17">
        <f t="shared" si="88"/>
        <v>0</v>
      </c>
      <c r="AK86" s="17">
        <f t="shared" si="89"/>
        <v>0</v>
      </c>
      <c r="AL86" s="17">
        <f t="shared" si="90"/>
        <v>0</v>
      </c>
      <c r="AN86" s="33">
        <v>21</v>
      </c>
      <c r="AO86" s="33">
        <f t="shared" si="100"/>
        <v>0</v>
      </c>
      <c r="AP86" s="33">
        <f t="shared" si="101"/>
        <v>0</v>
      </c>
      <c r="AQ86" s="29" t="s">
        <v>6</v>
      </c>
      <c r="AV86" s="33">
        <f t="shared" si="91"/>
        <v>0</v>
      </c>
      <c r="AW86" s="33">
        <f t="shared" si="92"/>
        <v>0</v>
      </c>
      <c r="AX86" s="33">
        <f t="shared" si="93"/>
        <v>0</v>
      </c>
      <c r="AY86" s="34" t="s">
        <v>574</v>
      </c>
      <c r="AZ86" s="34" t="s">
        <v>588</v>
      </c>
      <c r="BA86" s="25" t="s">
        <v>601</v>
      </c>
      <c r="BC86" s="33">
        <f t="shared" si="94"/>
        <v>0</v>
      </c>
      <c r="BD86" s="33">
        <f t="shared" si="95"/>
        <v>0</v>
      </c>
      <c r="BE86" s="33">
        <v>0</v>
      </c>
      <c r="BF86" s="33">
        <f t="shared" si="96"/>
        <v>0.078</v>
      </c>
      <c r="BH86" s="17">
        <f t="shared" si="97"/>
        <v>0</v>
      </c>
      <c r="BI86" s="17">
        <f t="shared" si="98"/>
        <v>0</v>
      </c>
      <c r="BJ86" s="17">
        <f t="shared" si="99"/>
        <v>0</v>
      </c>
    </row>
    <row r="87" spans="1:62" ht="12.75">
      <c r="A87" s="86" t="s">
        <v>72</v>
      </c>
      <c r="B87" s="86" t="s">
        <v>198</v>
      </c>
      <c r="C87" s="86" t="s">
        <v>266</v>
      </c>
      <c r="D87" s="86" t="s">
        <v>421</v>
      </c>
      <c r="E87" s="86" t="s">
        <v>534</v>
      </c>
      <c r="F87" s="87">
        <v>2</v>
      </c>
      <c r="G87" s="87"/>
      <c r="H87" s="87">
        <f t="shared" si="76"/>
        <v>0</v>
      </c>
      <c r="I87" s="87">
        <f t="shared" si="77"/>
        <v>0</v>
      </c>
      <c r="J87" s="87">
        <f t="shared" si="78"/>
        <v>0</v>
      </c>
      <c r="K87" s="88">
        <f>IF(J250=0,0,J87/J250)</f>
        <v>0</v>
      </c>
      <c r="L87" s="87">
        <v>0.00011</v>
      </c>
      <c r="M87" s="87">
        <f t="shared" si="79"/>
        <v>0.00022</v>
      </c>
      <c r="N87" s="89" t="s">
        <v>559</v>
      </c>
      <c r="Z87" s="33">
        <f t="shared" si="80"/>
        <v>0</v>
      </c>
      <c r="AB87" s="33">
        <f t="shared" si="81"/>
        <v>0</v>
      </c>
      <c r="AC87" s="33">
        <f t="shared" si="82"/>
        <v>0</v>
      </c>
      <c r="AD87" s="33">
        <f t="shared" si="83"/>
        <v>0</v>
      </c>
      <c r="AE87" s="33">
        <f t="shared" si="84"/>
        <v>0</v>
      </c>
      <c r="AF87" s="33">
        <f t="shared" si="85"/>
        <v>0</v>
      </c>
      <c r="AG87" s="33">
        <f t="shared" si="86"/>
        <v>0</v>
      </c>
      <c r="AH87" s="33">
        <f t="shared" si="87"/>
        <v>0</v>
      </c>
      <c r="AI87" s="25" t="s">
        <v>198</v>
      </c>
      <c r="AJ87" s="18">
        <f t="shared" si="88"/>
        <v>0</v>
      </c>
      <c r="AK87" s="18">
        <f t="shared" si="89"/>
        <v>0</v>
      </c>
      <c r="AL87" s="18">
        <f t="shared" si="90"/>
        <v>0</v>
      </c>
      <c r="AN87" s="33">
        <v>21</v>
      </c>
      <c r="AO87" s="33">
        <f>G87*0.1054</f>
        <v>0</v>
      </c>
      <c r="AP87" s="33">
        <f>G87*(1-0.1054)</f>
        <v>0</v>
      </c>
      <c r="AQ87" s="30" t="s">
        <v>6</v>
      </c>
      <c r="AV87" s="33">
        <f t="shared" si="91"/>
        <v>0</v>
      </c>
      <c r="AW87" s="33">
        <f t="shared" si="92"/>
        <v>0</v>
      </c>
      <c r="AX87" s="33">
        <f t="shared" si="93"/>
        <v>0</v>
      </c>
      <c r="AY87" s="34" t="s">
        <v>574</v>
      </c>
      <c r="AZ87" s="34" t="s">
        <v>588</v>
      </c>
      <c r="BA87" s="25" t="s">
        <v>601</v>
      </c>
      <c r="BC87" s="33">
        <f t="shared" si="94"/>
        <v>0</v>
      </c>
      <c r="BD87" s="33">
        <f t="shared" si="95"/>
        <v>0</v>
      </c>
      <c r="BE87" s="33">
        <v>0</v>
      </c>
      <c r="BF87" s="33">
        <f t="shared" si="96"/>
        <v>0.00022</v>
      </c>
      <c r="BH87" s="18">
        <f t="shared" si="97"/>
        <v>0</v>
      </c>
      <c r="BI87" s="18">
        <f t="shared" si="98"/>
        <v>0</v>
      </c>
      <c r="BJ87" s="18">
        <f t="shared" si="99"/>
        <v>0</v>
      </c>
    </row>
    <row r="88" spans="1:62" ht="12.75">
      <c r="A88" s="82" t="s">
        <v>73</v>
      </c>
      <c r="B88" s="82" t="s">
        <v>198</v>
      </c>
      <c r="C88" s="82" t="s">
        <v>267</v>
      </c>
      <c r="D88" s="82" t="s">
        <v>422</v>
      </c>
      <c r="E88" s="82" t="s">
        <v>533</v>
      </c>
      <c r="F88" s="83">
        <v>2</v>
      </c>
      <c r="G88" s="83"/>
      <c r="H88" s="83">
        <f t="shared" si="76"/>
        <v>0</v>
      </c>
      <c r="I88" s="83">
        <f t="shared" si="77"/>
        <v>0</v>
      </c>
      <c r="J88" s="83">
        <f t="shared" si="78"/>
        <v>0</v>
      </c>
      <c r="K88" s="84">
        <f>IF(J250=0,0,J88/J250)</f>
        <v>0</v>
      </c>
      <c r="L88" s="83">
        <v>0</v>
      </c>
      <c r="M88" s="83">
        <f t="shared" si="79"/>
        <v>0</v>
      </c>
      <c r="N88" s="85"/>
      <c r="Z88" s="33">
        <f t="shared" si="80"/>
        <v>0</v>
      </c>
      <c r="AB88" s="33">
        <f t="shared" si="81"/>
        <v>0</v>
      </c>
      <c r="AC88" s="33">
        <f t="shared" si="82"/>
        <v>0</v>
      </c>
      <c r="AD88" s="33">
        <f t="shared" si="83"/>
        <v>0</v>
      </c>
      <c r="AE88" s="33">
        <f t="shared" si="84"/>
        <v>0</v>
      </c>
      <c r="AF88" s="33">
        <f t="shared" si="85"/>
        <v>0</v>
      </c>
      <c r="AG88" s="33">
        <f t="shared" si="86"/>
        <v>0</v>
      </c>
      <c r="AH88" s="33">
        <f t="shared" si="87"/>
        <v>0</v>
      </c>
      <c r="AI88" s="25" t="s">
        <v>198</v>
      </c>
      <c r="AJ88" s="17">
        <f t="shared" si="88"/>
        <v>0</v>
      </c>
      <c r="AK88" s="17">
        <f t="shared" si="89"/>
        <v>0</v>
      </c>
      <c r="AL88" s="17">
        <f t="shared" si="90"/>
        <v>0</v>
      </c>
      <c r="AN88" s="33">
        <v>21</v>
      </c>
      <c r="AO88" s="33">
        <f>G88*1</f>
        <v>0</v>
      </c>
      <c r="AP88" s="33">
        <f>G88*(1-1)</f>
        <v>0</v>
      </c>
      <c r="AQ88" s="29" t="s">
        <v>6</v>
      </c>
      <c r="AV88" s="33">
        <f t="shared" si="91"/>
        <v>0</v>
      </c>
      <c r="AW88" s="33">
        <f t="shared" si="92"/>
        <v>0</v>
      </c>
      <c r="AX88" s="33">
        <f t="shared" si="93"/>
        <v>0</v>
      </c>
      <c r="AY88" s="34" t="s">
        <v>574</v>
      </c>
      <c r="AZ88" s="34" t="s">
        <v>588</v>
      </c>
      <c r="BA88" s="25" t="s">
        <v>601</v>
      </c>
      <c r="BC88" s="33">
        <f t="shared" si="94"/>
        <v>0</v>
      </c>
      <c r="BD88" s="33">
        <f t="shared" si="95"/>
        <v>0</v>
      </c>
      <c r="BE88" s="33">
        <v>0</v>
      </c>
      <c r="BF88" s="33">
        <f t="shared" si="96"/>
        <v>0</v>
      </c>
      <c r="BH88" s="17">
        <f t="shared" si="97"/>
        <v>0</v>
      </c>
      <c r="BI88" s="17">
        <f t="shared" si="98"/>
        <v>0</v>
      </c>
      <c r="BJ88" s="17">
        <f t="shared" si="99"/>
        <v>0</v>
      </c>
    </row>
    <row r="89" spans="1:62" ht="12.75">
      <c r="A89" s="82" t="s">
        <v>74</v>
      </c>
      <c r="B89" s="82" t="s">
        <v>198</v>
      </c>
      <c r="C89" s="82" t="s">
        <v>268</v>
      </c>
      <c r="D89" s="82" t="s">
        <v>423</v>
      </c>
      <c r="E89" s="82" t="s">
        <v>534</v>
      </c>
      <c r="F89" s="83">
        <v>2</v>
      </c>
      <c r="G89" s="83"/>
      <c r="H89" s="83">
        <f t="shared" si="76"/>
        <v>0</v>
      </c>
      <c r="I89" s="83">
        <f t="shared" si="77"/>
        <v>0</v>
      </c>
      <c r="J89" s="83">
        <f t="shared" si="78"/>
        <v>0</v>
      </c>
      <c r="K89" s="84">
        <f>IF(J250=0,0,J89/J250)</f>
        <v>0</v>
      </c>
      <c r="L89" s="83">
        <v>0.03</v>
      </c>
      <c r="M89" s="83">
        <f t="shared" si="79"/>
        <v>0.06</v>
      </c>
      <c r="N89" s="85" t="s">
        <v>559</v>
      </c>
      <c r="Z89" s="33">
        <f t="shared" si="80"/>
        <v>0</v>
      </c>
      <c r="AB89" s="33">
        <f t="shared" si="81"/>
        <v>0</v>
      </c>
      <c r="AC89" s="33">
        <f t="shared" si="82"/>
        <v>0</v>
      </c>
      <c r="AD89" s="33">
        <f t="shared" si="83"/>
        <v>0</v>
      </c>
      <c r="AE89" s="33">
        <f t="shared" si="84"/>
        <v>0</v>
      </c>
      <c r="AF89" s="33">
        <f t="shared" si="85"/>
        <v>0</v>
      </c>
      <c r="AG89" s="33">
        <f t="shared" si="86"/>
        <v>0</v>
      </c>
      <c r="AH89" s="33">
        <f t="shared" si="87"/>
        <v>0</v>
      </c>
      <c r="AI89" s="25" t="s">
        <v>198</v>
      </c>
      <c r="AJ89" s="17">
        <f t="shared" si="88"/>
        <v>0</v>
      </c>
      <c r="AK89" s="17">
        <f t="shared" si="89"/>
        <v>0</v>
      </c>
      <c r="AL89" s="17">
        <f t="shared" si="90"/>
        <v>0</v>
      </c>
      <c r="AN89" s="33">
        <v>21</v>
      </c>
      <c r="AO89" s="33">
        <f>G89*1</f>
        <v>0</v>
      </c>
      <c r="AP89" s="33">
        <f>G89*(1-1)</f>
        <v>0</v>
      </c>
      <c r="AQ89" s="29" t="s">
        <v>6</v>
      </c>
      <c r="AV89" s="33">
        <f t="shared" si="91"/>
        <v>0</v>
      </c>
      <c r="AW89" s="33">
        <f t="shared" si="92"/>
        <v>0</v>
      </c>
      <c r="AX89" s="33">
        <f t="shared" si="93"/>
        <v>0</v>
      </c>
      <c r="AY89" s="34" t="s">
        <v>574</v>
      </c>
      <c r="AZ89" s="34" t="s">
        <v>588</v>
      </c>
      <c r="BA89" s="25" t="s">
        <v>601</v>
      </c>
      <c r="BC89" s="33">
        <f t="shared" si="94"/>
        <v>0</v>
      </c>
      <c r="BD89" s="33">
        <f t="shared" si="95"/>
        <v>0</v>
      </c>
      <c r="BE89" s="33">
        <v>0</v>
      </c>
      <c r="BF89" s="33">
        <f t="shared" si="96"/>
        <v>0.06</v>
      </c>
      <c r="BH89" s="17">
        <f t="shared" si="97"/>
        <v>0</v>
      </c>
      <c r="BI89" s="17">
        <f t="shared" si="98"/>
        <v>0</v>
      </c>
      <c r="BJ89" s="17">
        <f t="shared" si="99"/>
        <v>0</v>
      </c>
    </row>
    <row r="90" spans="1:62" ht="12.75">
      <c r="A90" s="82" t="s">
        <v>75</v>
      </c>
      <c r="B90" s="82" t="s">
        <v>198</v>
      </c>
      <c r="C90" s="82" t="s">
        <v>269</v>
      </c>
      <c r="D90" s="82" t="s">
        <v>424</v>
      </c>
      <c r="E90" s="82" t="s">
        <v>533</v>
      </c>
      <c r="F90" s="83">
        <v>36</v>
      </c>
      <c r="G90" s="83"/>
      <c r="H90" s="83">
        <f t="shared" si="76"/>
        <v>0</v>
      </c>
      <c r="I90" s="83">
        <f t="shared" si="77"/>
        <v>0</v>
      </c>
      <c r="J90" s="83">
        <f t="shared" si="78"/>
        <v>0</v>
      </c>
      <c r="K90" s="84">
        <f>IF(J250=0,0,J90/J250)</f>
        <v>0</v>
      </c>
      <c r="L90" s="83">
        <v>0</v>
      </c>
      <c r="M90" s="83">
        <f t="shared" si="79"/>
        <v>0</v>
      </c>
      <c r="N90" s="85"/>
      <c r="Z90" s="33">
        <f t="shared" si="80"/>
        <v>0</v>
      </c>
      <c r="AB90" s="33">
        <f t="shared" si="81"/>
        <v>0</v>
      </c>
      <c r="AC90" s="33">
        <f t="shared" si="82"/>
        <v>0</v>
      </c>
      <c r="AD90" s="33">
        <f t="shared" si="83"/>
        <v>0</v>
      </c>
      <c r="AE90" s="33">
        <f t="shared" si="84"/>
        <v>0</v>
      </c>
      <c r="AF90" s="33">
        <f t="shared" si="85"/>
        <v>0</v>
      </c>
      <c r="AG90" s="33">
        <f t="shared" si="86"/>
        <v>0</v>
      </c>
      <c r="AH90" s="33">
        <f t="shared" si="87"/>
        <v>0</v>
      </c>
      <c r="AI90" s="25" t="s">
        <v>198</v>
      </c>
      <c r="AJ90" s="17">
        <f t="shared" si="88"/>
        <v>0</v>
      </c>
      <c r="AK90" s="17">
        <f t="shared" si="89"/>
        <v>0</v>
      </c>
      <c r="AL90" s="17">
        <f t="shared" si="90"/>
        <v>0</v>
      </c>
      <c r="AN90" s="33">
        <v>21</v>
      </c>
      <c r="AO90" s="33">
        <f>G90*1</f>
        <v>0</v>
      </c>
      <c r="AP90" s="33">
        <f>G90*(1-1)</f>
        <v>0</v>
      </c>
      <c r="AQ90" s="29" t="s">
        <v>6</v>
      </c>
      <c r="AV90" s="33">
        <f t="shared" si="91"/>
        <v>0</v>
      </c>
      <c r="AW90" s="33">
        <f t="shared" si="92"/>
        <v>0</v>
      </c>
      <c r="AX90" s="33">
        <f t="shared" si="93"/>
        <v>0</v>
      </c>
      <c r="AY90" s="34" t="s">
        <v>574</v>
      </c>
      <c r="AZ90" s="34" t="s">
        <v>588</v>
      </c>
      <c r="BA90" s="25" t="s">
        <v>601</v>
      </c>
      <c r="BC90" s="33">
        <f t="shared" si="94"/>
        <v>0</v>
      </c>
      <c r="BD90" s="33">
        <f t="shared" si="95"/>
        <v>0</v>
      </c>
      <c r="BE90" s="33">
        <v>0</v>
      </c>
      <c r="BF90" s="33">
        <f t="shared" si="96"/>
        <v>0</v>
      </c>
      <c r="BH90" s="17">
        <f t="shared" si="97"/>
        <v>0</v>
      </c>
      <c r="BI90" s="17">
        <f t="shared" si="98"/>
        <v>0</v>
      </c>
      <c r="BJ90" s="17">
        <f t="shared" si="99"/>
        <v>0</v>
      </c>
    </row>
    <row r="91" spans="1:62" ht="12.75">
      <c r="A91" s="82" t="s">
        <v>76</v>
      </c>
      <c r="B91" s="82" t="s">
        <v>198</v>
      </c>
      <c r="C91" s="82" t="s">
        <v>270</v>
      </c>
      <c r="D91" s="82" t="s">
        <v>425</v>
      </c>
      <c r="E91" s="82" t="s">
        <v>533</v>
      </c>
      <c r="F91" s="83">
        <v>36</v>
      </c>
      <c r="G91" s="83"/>
      <c r="H91" s="83">
        <f t="shared" si="76"/>
        <v>0</v>
      </c>
      <c r="I91" s="83">
        <f t="shared" si="77"/>
        <v>0</v>
      </c>
      <c r="J91" s="83">
        <f t="shared" si="78"/>
        <v>0</v>
      </c>
      <c r="K91" s="84">
        <f>IF(J250=0,0,J91/J250)</f>
        <v>0</v>
      </c>
      <c r="L91" s="83">
        <v>0</v>
      </c>
      <c r="M91" s="83">
        <f t="shared" si="79"/>
        <v>0</v>
      </c>
      <c r="N91" s="85"/>
      <c r="Z91" s="33">
        <f t="shared" si="80"/>
        <v>0</v>
      </c>
      <c r="AB91" s="33">
        <f t="shared" si="81"/>
        <v>0</v>
      </c>
      <c r="AC91" s="33">
        <f t="shared" si="82"/>
        <v>0</v>
      </c>
      <c r="AD91" s="33">
        <f t="shared" si="83"/>
        <v>0</v>
      </c>
      <c r="AE91" s="33">
        <f t="shared" si="84"/>
        <v>0</v>
      </c>
      <c r="AF91" s="33">
        <f t="shared" si="85"/>
        <v>0</v>
      </c>
      <c r="AG91" s="33">
        <f t="shared" si="86"/>
        <v>0</v>
      </c>
      <c r="AH91" s="33">
        <f t="shared" si="87"/>
        <v>0</v>
      </c>
      <c r="AI91" s="25" t="s">
        <v>198</v>
      </c>
      <c r="AJ91" s="17">
        <f t="shared" si="88"/>
        <v>0</v>
      </c>
      <c r="AK91" s="17">
        <f t="shared" si="89"/>
        <v>0</v>
      </c>
      <c r="AL91" s="17">
        <f t="shared" si="90"/>
        <v>0</v>
      </c>
      <c r="AN91" s="33">
        <v>21</v>
      </c>
      <c r="AO91" s="33">
        <f>G91*1</f>
        <v>0</v>
      </c>
      <c r="AP91" s="33">
        <f>G91*(1-1)</f>
        <v>0</v>
      </c>
      <c r="AQ91" s="29" t="s">
        <v>6</v>
      </c>
      <c r="AV91" s="33">
        <f t="shared" si="91"/>
        <v>0</v>
      </c>
      <c r="AW91" s="33">
        <f t="shared" si="92"/>
        <v>0</v>
      </c>
      <c r="AX91" s="33">
        <f t="shared" si="93"/>
        <v>0</v>
      </c>
      <c r="AY91" s="34" t="s">
        <v>574</v>
      </c>
      <c r="AZ91" s="34" t="s">
        <v>588</v>
      </c>
      <c r="BA91" s="25" t="s">
        <v>601</v>
      </c>
      <c r="BC91" s="33">
        <f t="shared" si="94"/>
        <v>0</v>
      </c>
      <c r="BD91" s="33">
        <f t="shared" si="95"/>
        <v>0</v>
      </c>
      <c r="BE91" s="33">
        <v>0</v>
      </c>
      <c r="BF91" s="33">
        <f t="shared" si="96"/>
        <v>0</v>
      </c>
      <c r="BH91" s="17">
        <f t="shared" si="97"/>
        <v>0</v>
      </c>
      <c r="BI91" s="17">
        <f t="shared" si="98"/>
        <v>0</v>
      </c>
      <c r="BJ91" s="17">
        <f t="shared" si="99"/>
        <v>0</v>
      </c>
    </row>
    <row r="92" spans="1:62" ht="12.75">
      <c r="A92" s="82" t="s">
        <v>77</v>
      </c>
      <c r="B92" s="82" t="s">
        <v>198</v>
      </c>
      <c r="C92" s="82" t="s">
        <v>271</v>
      </c>
      <c r="D92" s="82" t="s">
        <v>426</v>
      </c>
      <c r="E92" s="82" t="s">
        <v>533</v>
      </c>
      <c r="F92" s="83">
        <v>6</v>
      </c>
      <c r="G92" s="83"/>
      <c r="H92" s="83">
        <f t="shared" si="76"/>
        <v>0</v>
      </c>
      <c r="I92" s="83">
        <f t="shared" si="77"/>
        <v>0</v>
      </c>
      <c r="J92" s="83">
        <f t="shared" si="78"/>
        <v>0</v>
      </c>
      <c r="K92" s="84">
        <f>IF(J250=0,0,J92/J250)</f>
        <v>0</v>
      </c>
      <c r="L92" s="83">
        <v>0</v>
      </c>
      <c r="M92" s="83">
        <f t="shared" si="79"/>
        <v>0</v>
      </c>
      <c r="N92" s="85"/>
      <c r="Z92" s="33">
        <f t="shared" si="80"/>
        <v>0</v>
      </c>
      <c r="AB92" s="33">
        <f t="shared" si="81"/>
        <v>0</v>
      </c>
      <c r="AC92" s="33">
        <f t="shared" si="82"/>
        <v>0</v>
      </c>
      <c r="AD92" s="33">
        <f t="shared" si="83"/>
        <v>0</v>
      </c>
      <c r="AE92" s="33">
        <f t="shared" si="84"/>
        <v>0</v>
      </c>
      <c r="AF92" s="33">
        <f t="shared" si="85"/>
        <v>0</v>
      </c>
      <c r="AG92" s="33">
        <f t="shared" si="86"/>
        <v>0</v>
      </c>
      <c r="AH92" s="33">
        <f t="shared" si="87"/>
        <v>0</v>
      </c>
      <c r="AI92" s="25" t="s">
        <v>198</v>
      </c>
      <c r="AJ92" s="17">
        <f t="shared" si="88"/>
        <v>0</v>
      </c>
      <c r="AK92" s="17">
        <f t="shared" si="89"/>
        <v>0</v>
      </c>
      <c r="AL92" s="17">
        <f t="shared" si="90"/>
        <v>0</v>
      </c>
      <c r="AN92" s="33">
        <v>21</v>
      </c>
      <c r="AO92" s="33">
        <f>G92*1</f>
        <v>0</v>
      </c>
      <c r="AP92" s="33">
        <f>G92*(1-1)</f>
        <v>0</v>
      </c>
      <c r="AQ92" s="29" t="s">
        <v>6</v>
      </c>
      <c r="AV92" s="33">
        <f t="shared" si="91"/>
        <v>0</v>
      </c>
      <c r="AW92" s="33">
        <f t="shared" si="92"/>
        <v>0</v>
      </c>
      <c r="AX92" s="33">
        <f t="shared" si="93"/>
        <v>0</v>
      </c>
      <c r="AY92" s="34" t="s">
        <v>574</v>
      </c>
      <c r="AZ92" s="34" t="s">
        <v>588</v>
      </c>
      <c r="BA92" s="25" t="s">
        <v>601</v>
      </c>
      <c r="BC92" s="33">
        <f t="shared" si="94"/>
        <v>0</v>
      </c>
      <c r="BD92" s="33">
        <f t="shared" si="95"/>
        <v>0</v>
      </c>
      <c r="BE92" s="33">
        <v>0</v>
      </c>
      <c r="BF92" s="33">
        <f t="shared" si="96"/>
        <v>0</v>
      </c>
      <c r="BH92" s="17">
        <f t="shared" si="97"/>
        <v>0</v>
      </c>
      <c r="BI92" s="17">
        <f t="shared" si="98"/>
        <v>0</v>
      </c>
      <c r="BJ92" s="17">
        <f t="shared" si="99"/>
        <v>0</v>
      </c>
    </row>
    <row r="93" spans="1:47" ht="12.75">
      <c r="A93" s="90"/>
      <c r="B93" s="91" t="s">
        <v>198</v>
      </c>
      <c r="C93" s="91" t="s">
        <v>88</v>
      </c>
      <c r="D93" s="91" t="s">
        <v>427</v>
      </c>
      <c r="E93" s="90" t="s">
        <v>5</v>
      </c>
      <c r="F93" s="90" t="s">
        <v>5</v>
      </c>
      <c r="G93" s="90"/>
      <c r="H93" s="92">
        <f>SUM(H94:H110)</f>
        <v>0</v>
      </c>
      <c r="I93" s="92">
        <f>SUM(I94:I110)</f>
        <v>0</v>
      </c>
      <c r="J93" s="92">
        <f>SUM(J94:J110)</f>
        <v>0</v>
      </c>
      <c r="K93" s="93">
        <f>IF(J250=0,0,J93/J250)</f>
        <v>0</v>
      </c>
      <c r="L93" s="94"/>
      <c r="M93" s="92">
        <f>SUM(M94:M110)</f>
        <v>244.36400600000002</v>
      </c>
      <c r="N93" s="94"/>
      <c r="AI93" s="25" t="s">
        <v>198</v>
      </c>
      <c r="AS93" s="36">
        <f>SUM(AJ94:AJ110)</f>
        <v>0</v>
      </c>
      <c r="AT93" s="36">
        <f>SUM(AK94:AK110)</f>
        <v>0</v>
      </c>
      <c r="AU93" s="36">
        <f>SUM(AL94:AL110)</f>
        <v>0</v>
      </c>
    </row>
    <row r="94" spans="1:62" ht="12.75">
      <c r="A94" s="86" t="s">
        <v>78</v>
      </c>
      <c r="B94" s="86" t="s">
        <v>198</v>
      </c>
      <c r="C94" s="86" t="s">
        <v>272</v>
      </c>
      <c r="D94" s="86" t="s">
        <v>428</v>
      </c>
      <c r="E94" s="86" t="s">
        <v>526</v>
      </c>
      <c r="F94" s="87">
        <v>107.7</v>
      </c>
      <c r="G94" s="87"/>
      <c r="H94" s="87">
        <f aca="true" t="shared" si="102" ref="H94:H104">F94*AO94</f>
        <v>0</v>
      </c>
      <c r="I94" s="87">
        <f aca="true" t="shared" si="103" ref="I94:I104">F94*AP94</f>
        <v>0</v>
      </c>
      <c r="J94" s="87">
        <f aca="true" t="shared" si="104" ref="J94:J104">F94*G94</f>
        <v>0</v>
      </c>
      <c r="K94" s="88">
        <f>IF(J250=0,0,J94/J250)</f>
        <v>0</v>
      </c>
      <c r="L94" s="87">
        <v>0.00294</v>
      </c>
      <c r="M94" s="87">
        <f aca="true" t="shared" si="105" ref="M94:M104">F94*L94</f>
        <v>0.316638</v>
      </c>
      <c r="N94" s="89" t="s">
        <v>559</v>
      </c>
      <c r="Z94" s="33">
        <f aca="true" t="shared" si="106" ref="Z94:Z104">IF(AQ94="5",BJ94,0)</f>
        <v>0</v>
      </c>
      <c r="AB94" s="33">
        <f aca="true" t="shared" si="107" ref="AB94:AB104">IF(AQ94="1",BH94,0)</f>
        <v>0</v>
      </c>
      <c r="AC94" s="33">
        <f aca="true" t="shared" si="108" ref="AC94:AC104">IF(AQ94="1",BI94,0)</f>
        <v>0</v>
      </c>
      <c r="AD94" s="33">
        <f aca="true" t="shared" si="109" ref="AD94:AD104">IF(AQ94="7",BH94,0)</f>
        <v>0</v>
      </c>
      <c r="AE94" s="33">
        <f aca="true" t="shared" si="110" ref="AE94:AE104">IF(AQ94="7",BI94,0)</f>
        <v>0</v>
      </c>
      <c r="AF94" s="33">
        <f aca="true" t="shared" si="111" ref="AF94:AF104">IF(AQ94="2",BH94,0)</f>
        <v>0</v>
      </c>
      <c r="AG94" s="33">
        <f aca="true" t="shared" si="112" ref="AG94:AG104">IF(AQ94="2",BI94,0)</f>
        <v>0</v>
      </c>
      <c r="AH94" s="33">
        <f aca="true" t="shared" si="113" ref="AH94:AH104">IF(AQ94="0",BJ94,0)</f>
        <v>0</v>
      </c>
      <c r="AI94" s="25" t="s">
        <v>198</v>
      </c>
      <c r="AJ94" s="18">
        <f aca="true" t="shared" si="114" ref="AJ94:AJ104">IF(AN94=0,J94,0)</f>
        <v>0</v>
      </c>
      <c r="AK94" s="18">
        <f aca="true" t="shared" si="115" ref="AK94:AK104">IF(AN94=15,J94,0)</f>
        <v>0</v>
      </c>
      <c r="AL94" s="18">
        <f aca="true" t="shared" si="116" ref="AL94:AL104">IF(AN94=21,J94,0)</f>
        <v>0</v>
      </c>
      <c r="AN94" s="33">
        <v>21</v>
      </c>
      <c r="AO94" s="33">
        <f>G94*0.165215183246073</f>
        <v>0</v>
      </c>
      <c r="AP94" s="33">
        <f>G94*(1-0.165215183246073)</f>
        <v>0</v>
      </c>
      <c r="AQ94" s="30" t="s">
        <v>6</v>
      </c>
      <c r="AV94" s="33">
        <f aca="true" t="shared" si="117" ref="AV94:AV104">AW94+AX94</f>
        <v>0</v>
      </c>
      <c r="AW94" s="33">
        <f aca="true" t="shared" si="118" ref="AW94:AW104">F94*AO94</f>
        <v>0</v>
      </c>
      <c r="AX94" s="33">
        <f aca="true" t="shared" si="119" ref="AX94:AX104">F94*AP94</f>
        <v>0</v>
      </c>
      <c r="AY94" s="34" t="s">
        <v>575</v>
      </c>
      <c r="AZ94" s="34" t="s">
        <v>587</v>
      </c>
      <c r="BA94" s="25" t="s">
        <v>601</v>
      </c>
      <c r="BC94" s="33">
        <f aca="true" t="shared" si="120" ref="BC94:BC104">AW94+AX94</f>
        <v>0</v>
      </c>
      <c r="BD94" s="33">
        <f aca="true" t="shared" si="121" ref="BD94:BD104">G94/(100-BE94)*100</f>
        <v>0</v>
      </c>
      <c r="BE94" s="33">
        <v>0</v>
      </c>
      <c r="BF94" s="33">
        <f aca="true" t="shared" si="122" ref="BF94:BF104">M94</f>
        <v>0.316638</v>
      </c>
      <c r="BH94" s="18">
        <f aca="true" t="shared" si="123" ref="BH94:BH104">F94*AO94</f>
        <v>0</v>
      </c>
      <c r="BI94" s="18">
        <f aca="true" t="shared" si="124" ref="BI94:BI104">F94*AP94</f>
        <v>0</v>
      </c>
      <c r="BJ94" s="18">
        <f aca="true" t="shared" si="125" ref="BJ94:BJ104">F94*G94</f>
        <v>0</v>
      </c>
    </row>
    <row r="95" spans="1:62" ht="12.75">
      <c r="A95" s="86" t="s">
        <v>79</v>
      </c>
      <c r="B95" s="86" t="s">
        <v>198</v>
      </c>
      <c r="C95" s="86" t="s">
        <v>273</v>
      </c>
      <c r="D95" s="86" t="s">
        <v>429</v>
      </c>
      <c r="E95" s="86" t="s">
        <v>526</v>
      </c>
      <c r="F95" s="87">
        <v>107.7</v>
      </c>
      <c r="G95" s="87"/>
      <c r="H95" s="87">
        <f t="shared" si="102"/>
        <v>0</v>
      </c>
      <c r="I95" s="87">
        <f t="shared" si="103"/>
        <v>0</v>
      </c>
      <c r="J95" s="87">
        <f t="shared" si="104"/>
        <v>0</v>
      </c>
      <c r="K95" s="88">
        <f>IF(J250=0,0,J95/J250)</f>
        <v>0</v>
      </c>
      <c r="L95" s="87">
        <v>0.21664</v>
      </c>
      <c r="M95" s="87">
        <f t="shared" si="105"/>
        <v>23.332128</v>
      </c>
      <c r="N95" s="89" t="s">
        <v>559</v>
      </c>
      <c r="Z95" s="33">
        <f t="shared" si="106"/>
        <v>0</v>
      </c>
      <c r="AB95" s="33">
        <f t="shared" si="107"/>
        <v>0</v>
      </c>
      <c r="AC95" s="33">
        <f t="shared" si="108"/>
        <v>0</v>
      </c>
      <c r="AD95" s="33">
        <f t="shared" si="109"/>
        <v>0</v>
      </c>
      <c r="AE95" s="33">
        <f t="shared" si="110"/>
        <v>0</v>
      </c>
      <c r="AF95" s="33">
        <f t="shared" si="111"/>
        <v>0</v>
      </c>
      <c r="AG95" s="33">
        <f t="shared" si="112"/>
        <v>0</v>
      </c>
      <c r="AH95" s="33">
        <f t="shared" si="113"/>
        <v>0</v>
      </c>
      <c r="AI95" s="25" t="s">
        <v>198</v>
      </c>
      <c r="AJ95" s="18">
        <f t="shared" si="114"/>
        <v>0</v>
      </c>
      <c r="AK95" s="18">
        <f t="shared" si="115"/>
        <v>0</v>
      </c>
      <c r="AL95" s="18">
        <f t="shared" si="116"/>
        <v>0</v>
      </c>
      <c r="AN95" s="33">
        <v>21</v>
      </c>
      <c r="AO95" s="33">
        <f>G95*0.471298155176263</f>
        <v>0</v>
      </c>
      <c r="AP95" s="33">
        <f>G95*(1-0.471298155176263)</f>
        <v>0</v>
      </c>
      <c r="AQ95" s="30" t="s">
        <v>6</v>
      </c>
      <c r="AV95" s="33">
        <f t="shared" si="117"/>
        <v>0</v>
      </c>
      <c r="AW95" s="33">
        <f t="shared" si="118"/>
        <v>0</v>
      </c>
      <c r="AX95" s="33">
        <f t="shared" si="119"/>
        <v>0</v>
      </c>
      <c r="AY95" s="34" t="s">
        <v>575</v>
      </c>
      <c r="AZ95" s="34" t="s">
        <v>587</v>
      </c>
      <c r="BA95" s="25" t="s">
        <v>601</v>
      </c>
      <c r="BC95" s="33">
        <f t="shared" si="120"/>
        <v>0</v>
      </c>
      <c r="BD95" s="33">
        <f t="shared" si="121"/>
        <v>0</v>
      </c>
      <c r="BE95" s="33">
        <v>0</v>
      </c>
      <c r="BF95" s="33">
        <f t="shared" si="122"/>
        <v>23.332128</v>
      </c>
      <c r="BH95" s="18">
        <f t="shared" si="123"/>
        <v>0</v>
      </c>
      <c r="BI95" s="18">
        <f t="shared" si="124"/>
        <v>0</v>
      </c>
      <c r="BJ95" s="18">
        <f t="shared" si="125"/>
        <v>0</v>
      </c>
    </row>
    <row r="96" spans="1:62" ht="12.75">
      <c r="A96" s="82" t="s">
        <v>80</v>
      </c>
      <c r="B96" s="82" t="s">
        <v>198</v>
      </c>
      <c r="C96" s="82" t="s">
        <v>274</v>
      </c>
      <c r="D96" s="82" t="s">
        <v>430</v>
      </c>
      <c r="E96" s="82" t="s">
        <v>535</v>
      </c>
      <c r="F96" s="83">
        <v>20</v>
      </c>
      <c r="G96" s="83"/>
      <c r="H96" s="83">
        <f t="shared" si="102"/>
        <v>0</v>
      </c>
      <c r="I96" s="83">
        <f t="shared" si="103"/>
        <v>0</v>
      </c>
      <c r="J96" s="83">
        <f t="shared" si="104"/>
        <v>0</v>
      </c>
      <c r="K96" s="84">
        <f>IF(J250=0,0,J96/J250)</f>
        <v>0</v>
      </c>
      <c r="L96" s="83">
        <v>0</v>
      </c>
      <c r="M96" s="83">
        <f t="shared" si="105"/>
        <v>0</v>
      </c>
      <c r="N96" s="85"/>
      <c r="Z96" s="33">
        <f t="shared" si="106"/>
        <v>0</v>
      </c>
      <c r="AB96" s="33">
        <f t="shared" si="107"/>
        <v>0</v>
      </c>
      <c r="AC96" s="33">
        <f t="shared" si="108"/>
        <v>0</v>
      </c>
      <c r="AD96" s="33">
        <f t="shared" si="109"/>
        <v>0</v>
      </c>
      <c r="AE96" s="33">
        <f t="shared" si="110"/>
        <v>0</v>
      </c>
      <c r="AF96" s="33">
        <f t="shared" si="111"/>
        <v>0</v>
      </c>
      <c r="AG96" s="33">
        <f t="shared" si="112"/>
        <v>0</v>
      </c>
      <c r="AH96" s="33">
        <f t="shared" si="113"/>
        <v>0</v>
      </c>
      <c r="AI96" s="25" t="s">
        <v>198</v>
      </c>
      <c r="AJ96" s="17">
        <f t="shared" si="114"/>
        <v>0</v>
      </c>
      <c r="AK96" s="17">
        <f t="shared" si="115"/>
        <v>0</v>
      </c>
      <c r="AL96" s="17">
        <f t="shared" si="116"/>
        <v>0</v>
      </c>
      <c r="AN96" s="33">
        <v>21</v>
      </c>
      <c r="AO96" s="33">
        <f>G96*1</f>
        <v>0</v>
      </c>
      <c r="AP96" s="33">
        <f>G96*(1-1)</f>
        <v>0</v>
      </c>
      <c r="AQ96" s="29" t="s">
        <v>6</v>
      </c>
      <c r="AV96" s="33">
        <f t="shared" si="117"/>
        <v>0</v>
      </c>
      <c r="AW96" s="33">
        <f t="shared" si="118"/>
        <v>0</v>
      </c>
      <c r="AX96" s="33">
        <f t="shared" si="119"/>
        <v>0</v>
      </c>
      <c r="AY96" s="34" t="s">
        <v>575</v>
      </c>
      <c r="AZ96" s="34" t="s">
        <v>587</v>
      </c>
      <c r="BA96" s="25" t="s">
        <v>601</v>
      </c>
      <c r="BC96" s="33">
        <f t="shared" si="120"/>
        <v>0</v>
      </c>
      <c r="BD96" s="33">
        <f t="shared" si="121"/>
        <v>0</v>
      </c>
      <c r="BE96" s="33">
        <v>0</v>
      </c>
      <c r="BF96" s="33">
        <f t="shared" si="122"/>
        <v>0</v>
      </c>
      <c r="BH96" s="17">
        <f t="shared" si="123"/>
        <v>0</v>
      </c>
      <c r="BI96" s="17">
        <f t="shared" si="124"/>
        <v>0</v>
      </c>
      <c r="BJ96" s="17">
        <f t="shared" si="125"/>
        <v>0</v>
      </c>
    </row>
    <row r="97" spans="1:62" ht="12.75">
      <c r="A97" s="86" t="s">
        <v>81</v>
      </c>
      <c r="B97" s="86" t="s">
        <v>198</v>
      </c>
      <c r="C97" s="86" t="s">
        <v>275</v>
      </c>
      <c r="D97" s="86" t="s">
        <v>431</v>
      </c>
      <c r="E97" s="86" t="s">
        <v>534</v>
      </c>
      <c r="F97" s="87">
        <v>20</v>
      </c>
      <c r="G97" s="87"/>
      <c r="H97" s="87">
        <f t="shared" si="102"/>
        <v>0</v>
      </c>
      <c r="I97" s="87">
        <f t="shared" si="103"/>
        <v>0</v>
      </c>
      <c r="J97" s="87">
        <f t="shared" si="104"/>
        <v>0</v>
      </c>
      <c r="K97" s="88">
        <f>IF(J250=0,0,J97/J250)</f>
        <v>0</v>
      </c>
      <c r="L97" s="87">
        <v>0</v>
      </c>
      <c r="M97" s="87">
        <f t="shared" si="105"/>
        <v>0</v>
      </c>
      <c r="N97" s="89" t="s">
        <v>559</v>
      </c>
      <c r="Z97" s="33">
        <f t="shared" si="106"/>
        <v>0</v>
      </c>
      <c r="AB97" s="33">
        <f t="shared" si="107"/>
        <v>0</v>
      </c>
      <c r="AC97" s="33">
        <f t="shared" si="108"/>
        <v>0</v>
      </c>
      <c r="AD97" s="33">
        <f t="shared" si="109"/>
        <v>0</v>
      </c>
      <c r="AE97" s="33">
        <f t="shared" si="110"/>
        <v>0</v>
      </c>
      <c r="AF97" s="33">
        <f t="shared" si="111"/>
        <v>0</v>
      </c>
      <c r="AG97" s="33">
        <f t="shared" si="112"/>
        <v>0</v>
      </c>
      <c r="AH97" s="33">
        <f t="shared" si="113"/>
        <v>0</v>
      </c>
      <c r="AI97" s="25" t="s">
        <v>198</v>
      </c>
      <c r="AJ97" s="18">
        <f t="shared" si="114"/>
        <v>0</v>
      </c>
      <c r="AK97" s="18">
        <f t="shared" si="115"/>
        <v>0</v>
      </c>
      <c r="AL97" s="18">
        <f t="shared" si="116"/>
        <v>0</v>
      </c>
      <c r="AN97" s="33">
        <v>21</v>
      </c>
      <c r="AO97" s="33">
        <f>G97*0</f>
        <v>0</v>
      </c>
      <c r="AP97" s="33">
        <f>G97*(1-0)</f>
        <v>0</v>
      </c>
      <c r="AQ97" s="30" t="s">
        <v>6</v>
      </c>
      <c r="AV97" s="33">
        <f t="shared" si="117"/>
        <v>0</v>
      </c>
      <c r="AW97" s="33">
        <f t="shared" si="118"/>
        <v>0</v>
      </c>
      <c r="AX97" s="33">
        <f t="shared" si="119"/>
        <v>0</v>
      </c>
      <c r="AY97" s="34" t="s">
        <v>575</v>
      </c>
      <c r="AZ97" s="34" t="s">
        <v>587</v>
      </c>
      <c r="BA97" s="25" t="s">
        <v>601</v>
      </c>
      <c r="BC97" s="33">
        <f t="shared" si="120"/>
        <v>0</v>
      </c>
      <c r="BD97" s="33">
        <f t="shared" si="121"/>
        <v>0</v>
      </c>
      <c r="BE97" s="33">
        <v>0</v>
      </c>
      <c r="BF97" s="33">
        <f t="shared" si="122"/>
        <v>0</v>
      </c>
      <c r="BH97" s="18">
        <f t="shared" si="123"/>
        <v>0</v>
      </c>
      <c r="BI97" s="18">
        <f t="shared" si="124"/>
        <v>0</v>
      </c>
      <c r="BJ97" s="18">
        <f t="shared" si="125"/>
        <v>0</v>
      </c>
    </row>
    <row r="98" spans="1:62" ht="12.75">
      <c r="A98" s="82" t="s">
        <v>82</v>
      </c>
      <c r="B98" s="82" t="s">
        <v>198</v>
      </c>
      <c r="C98" s="82" t="s">
        <v>276</v>
      </c>
      <c r="D98" s="82" t="s">
        <v>432</v>
      </c>
      <c r="E98" s="82" t="s">
        <v>533</v>
      </c>
      <c r="F98" s="83">
        <v>20</v>
      </c>
      <c r="G98" s="83"/>
      <c r="H98" s="83">
        <f t="shared" si="102"/>
        <v>0</v>
      </c>
      <c r="I98" s="83">
        <f t="shared" si="103"/>
        <v>0</v>
      </c>
      <c r="J98" s="83">
        <f t="shared" si="104"/>
        <v>0</v>
      </c>
      <c r="K98" s="84">
        <f>IF(J250=0,0,J98/J250)</f>
        <v>0</v>
      </c>
      <c r="L98" s="83">
        <v>0</v>
      </c>
      <c r="M98" s="83">
        <f t="shared" si="105"/>
        <v>0</v>
      </c>
      <c r="N98" s="85"/>
      <c r="Z98" s="33">
        <f t="shared" si="106"/>
        <v>0</v>
      </c>
      <c r="AB98" s="33">
        <f t="shared" si="107"/>
        <v>0</v>
      </c>
      <c r="AC98" s="33">
        <f t="shared" si="108"/>
        <v>0</v>
      </c>
      <c r="AD98" s="33">
        <f t="shared" si="109"/>
        <v>0</v>
      </c>
      <c r="AE98" s="33">
        <f t="shared" si="110"/>
        <v>0</v>
      </c>
      <c r="AF98" s="33">
        <f t="shared" si="111"/>
        <v>0</v>
      </c>
      <c r="AG98" s="33">
        <f t="shared" si="112"/>
        <v>0</v>
      </c>
      <c r="AH98" s="33">
        <f t="shared" si="113"/>
        <v>0</v>
      </c>
      <c r="AI98" s="25" t="s">
        <v>198</v>
      </c>
      <c r="AJ98" s="17">
        <f t="shared" si="114"/>
        <v>0</v>
      </c>
      <c r="AK98" s="17">
        <f t="shared" si="115"/>
        <v>0</v>
      </c>
      <c r="AL98" s="17">
        <f t="shared" si="116"/>
        <v>0</v>
      </c>
      <c r="AN98" s="33">
        <v>21</v>
      </c>
      <c r="AO98" s="33">
        <f>G98*1</f>
        <v>0</v>
      </c>
      <c r="AP98" s="33">
        <f>G98*(1-1)</f>
        <v>0</v>
      </c>
      <c r="AQ98" s="29" t="s">
        <v>6</v>
      </c>
      <c r="AV98" s="33">
        <f t="shared" si="117"/>
        <v>0</v>
      </c>
      <c r="AW98" s="33">
        <f t="shared" si="118"/>
        <v>0</v>
      </c>
      <c r="AX98" s="33">
        <f t="shared" si="119"/>
        <v>0</v>
      </c>
      <c r="AY98" s="34" t="s">
        <v>575</v>
      </c>
      <c r="AZ98" s="34" t="s">
        <v>587</v>
      </c>
      <c r="BA98" s="25" t="s">
        <v>601</v>
      </c>
      <c r="BC98" s="33">
        <f t="shared" si="120"/>
        <v>0</v>
      </c>
      <c r="BD98" s="33">
        <f t="shared" si="121"/>
        <v>0</v>
      </c>
      <c r="BE98" s="33">
        <v>0</v>
      </c>
      <c r="BF98" s="33">
        <f t="shared" si="122"/>
        <v>0</v>
      </c>
      <c r="BH98" s="17">
        <f t="shared" si="123"/>
        <v>0</v>
      </c>
      <c r="BI98" s="17">
        <f t="shared" si="124"/>
        <v>0</v>
      </c>
      <c r="BJ98" s="17">
        <f t="shared" si="125"/>
        <v>0</v>
      </c>
    </row>
    <row r="99" spans="1:62" ht="12.75">
      <c r="A99" s="82" t="s">
        <v>83</v>
      </c>
      <c r="B99" s="82" t="s">
        <v>198</v>
      </c>
      <c r="C99" s="82" t="s">
        <v>277</v>
      </c>
      <c r="D99" s="82" t="s">
        <v>433</v>
      </c>
      <c r="E99" s="82" t="s">
        <v>534</v>
      </c>
      <c r="F99" s="83">
        <v>20</v>
      </c>
      <c r="G99" s="83"/>
      <c r="H99" s="83">
        <f t="shared" si="102"/>
        <v>0</v>
      </c>
      <c r="I99" s="83">
        <f t="shared" si="103"/>
        <v>0</v>
      </c>
      <c r="J99" s="83">
        <f t="shared" si="104"/>
        <v>0</v>
      </c>
      <c r="K99" s="84">
        <f>IF(J250=0,0,J99/J250)</f>
        <v>0</v>
      </c>
      <c r="L99" s="83">
        <v>0.00011</v>
      </c>
      <c r="M99" s="83">
        <f t="shared" si="105"/>
        <v>0.0022</v>
      </c>
      <c r="N99" s="85" t="s">
        <v>559</v>
      </c>
      <c r="Z99" s="33">
        <f t="shared" si="106"/>
        <v>0</v>
      </c>
      <c r="AB99" s="33">
        <f t="shared" si="107"/>
        <v>0</v>
      </c>
      <c r="AC99" s="33">
        <f t="shared" si="108"/>
        <v>0</v>
      </c>
      <c r="AD99" s="33">
        <f t="shared" si="109"/>
        <v>0</v>
      </c>
      <c r="AE99" s="33">
        <f t="shared" si="110"/>
        <v>0</v>
      </c>
      <c r="AF99" s="33">
        <f t="shared" si="111"/>
        <v>0</v>
      </c>
      <c r="AG99" s="33">
        <f t="shared" si="112"/>
        <v>0</v>
      </c>
      <c r="AH99" s="33">
        <f t="shared" si="113"/>
        <v>0</v>
      </c>
      <c r="AI99" s="25" t="s">
        <v>198</v>
      </c>
      <c r="AJ99" s="17">
        <f t="shared" si="114"/>
        <v>0</v>
      </c>
      <c r="AK99" s="17">
        <f t="shared" si="115"/>
        <v>0</v>
      </c>
      <c r="AL99" s="17">
        <f t="shared" si="116"/>
        <v>0</v>
      </c>
      <c r="AN99" s="33">
        <v>21</v>
      </c>
      <c r="AO99" s="33">
        <f>G99*1</f>
        <v>0</v>
      </c>
      <c r="AP99" s="33">
        <f>G99*(1-1)</f>
        <v>0</v>
      </c>
      <c r="AQ99" s="29" t="s">
        <v>6</v>
      </c>
      <c r="AV99" s="33">
        <f t="shared" si="117"/>
        <v>0</v>
      </c>
      <c r="AW99" s="33">
        <f t="shared" si="118"/>
        <v>0</v>
      </c>
      <c r="AX99" s="33">
        <f t="shared" si="119"/>
        <v>0</v>
      </c>
      <c r="AY99" s="34" t="s">
        <v>575</v>
      </c>
      <c r="AZ99" s="34" t="s">
        <v>587</v>
      </c>
      <c r="BA99" s="25" t="s">
        <v>601</v>
      </c>
      <c r="BC99" s="33">
        <f t="shared" si="120"/>
        <v>0</v>
      </c>
      <c r="BD99" s="33">
        <f t="shared" si="121"/>
        <v>0</v>
      </c>
      <c r="BE99" s="33">
        <v>0</v>
      </c>
      <c r="BF99" s="33">
        <f t="shared" si="122"/>
        <v>0.0022</v>
      </c>
      <c r="BH99" s="17">
        <f t="shared" si="123"/>
        <v>0</v>
      </c>
      <c r="BI99" s="17">
        <f t="shared" si="124"/>
        <v>0</v>
      </c>
      <c r="BJ99" s="17">
        <f t="shared" si="125"/>
        <v>0</v>
      </c>
    </row>
    <row r="100" spans="1:62" ht="12.75">
      <c r="A100" s="82" t="s">
        <v>84</v>
      </c>
      <c r="B100" s="82" t="s">
        <v>198</v>
      </c>
      <c r="C100" s="82" t="s">
        <v>278</v>
      </c>
      <c r="D100" s="82" t="s">
        <v>434</v>
      </c>
      <c r="E100" s="82" t="s">
        <v>533</v>
      </c>
      <c r="F100" s="83">
        <v>20</v>
      </c>
      <c r="G100" s="83"/>
      <c r="H100" s="83">
        <f t="shared" si="102"/>
        <v>0</v>
      </c>
      <c r="I100" s="83">
        <f t="shared" si="103"/>
        <v>0</v>
      </c>
      <c r="J100" s="83">
        <f t="shared" si="104"/>
        <v>0</v>
      </c>
      <c r="K100" s="84">
        <f>IF(J250=0,0,J100/J250)</f>
        <v>0</v>
      </c>
      <c r="L100" s="83">
        <v>0</v>
      </c>
      <c r="M100" s="83">
        <f t="shared" si="105"/>
        <v>0</v>
      </c>
      <c r="N100" s="85"/>
      <c r="Z100" s="33">
        <f t="shared" si="106"/>
        <v>0</v>
      </c>
      <c r="AB100" s="33">
        <f t="shared" si="107"/>
        <v>0</v>
      </c>
      <c r="AC100" s="33">
        <f t="shared" si="108"/>
        <v>0</v>
      </c>
      <c r="AD100" s="33">
        <f t="shared" si="109"/>
        <v>0</v>
      </c>
      <c r="AE100" s="33">
        <f t="shared" si="110"/>
        <v>0</v>
      </c>
      <c r="AF100" s="33">
        <f t="shared" si="111"/>
        <v>0</v>
      </c>
      <c r="AG100" s="33">
        <f t="shared" si="112"/>
        <v>0</v>
      </c>
      <c r="AH100" s="33">
        <f t="shared" si="113"/>
        <v>0</v>
      </c>
      <c r="AI100" s="25" t="s">
        <v>198</v>
      </c>
      <c r="AJ100" s="17">
        <f t="shared" si="114"/>
        <v>0</v>
      </c>
      <c r="AK100" s="17">
        <f t="shared" si="115"/>
        <v>0</v>
      </c>
      <c r="AL100" s="17">
        <f t="shared" si="116"/>
        <v>0</v>
      </c>
      <c r="AN100" s="33">
        <v>21</v>
      </c>
      <c r="AO100" s="33">
        <f>G100*1</f>
        <v>0</v>
      </c>
      <c r="AP100" s="33">
        <f>G100*(1-1)</f>
        <v>0</v>
      </c>
      <c r="AQ100" s="29" t="s">
        <v>6</v>
      </c>
      <c r="AV100" s="33">
        <f t="shared" si="117"/>
        <v>0</v>
      </c>
      <c r="AW100" s="33">
        <f t="shared" si="118"/>
        <v>0</v>
      </c>
      <c r="AX100" s="33">
        <f t="shared" si="119"/>
        <v>0</v>
      </c>
      <c r="AY100" s="34" t="s">
        <v>575</v>
      </c>
      <c r="AZ100" s="34" t="s">
        <v>587</v>
      </c>
      <c r="BA100" s="25" t="s">
        <v>601</v>
      </c>
      <c r="BC100" s="33">
        <f t="shared" si="120"/>
        <v>0</v>
      </c>
      <c r="BD100" s="33">
        <f t="shared" si="121"/>
        <v>0</v>
      </c>
      <c r="BE100" s="33">
        <v>0</v>
      </c>
      <c r="BF100" s="33">
        <f t="shared" si="122"/>
        <v>0</v>
      </c>
      <c r="BH100" s="17">
        <f t="shared" si="123"/>
        <v>0</v>
      </c>
      <c r="BI100" s="17">
        <f t="shared" si="124"/>
        <v>0</v>
      </c>
      <c r="BJ100" s="17">
        <f t="shared" si="125"/>
        <v>0</v>
      </c>
    </row>
    <row r="101" spans="1:62" ht="12.75">
      <c r="A101" s="82" t="s">
        <v>85</v>
      </c>
      <c r="B101" s="82" t="s">
        <v>198</v>
      </c>
      <c r="C101" s="82" t="s">
        <v>279</v>
      </c>
      <c r="D101" s="82" t="s">
        <v>435</v>
      </c>
      <c r="E101" s="82" t="s">
        <v>533</v>
      </c>
      <c r="F101" s="83">
        <v>20</v>
      </c>
      <c r="G101" s="83"/>
      <c r="H101" s="83">
        <f t="shared" si="102"/>
        <v>0</v>
      </c>
      <c r="I101" s="83">
        <f t="shared" si="103"/>
        <v>0</v>
      </c>
      <c r="J101" s="83">
        <f t="shared" si="104"/>
        <v>0</v>
      </c>
      <c r="K101" s="84">
        <f>IF(J250=0,0,J101/J250)</f>
        <v>0</v>
      </c>
      <c r="L101" s="83">
        <v>0</v>
      </c>
      <c r="M101" s="83">
        <f t="shared" si="105"/>
        <v>0</v>
      </c>
      <c r="N101" s="85"/>
      <c r="Z101" s="33">
        <f t="shared" si="106"/>
        <v>0</v>
      </c>
      <c r="AB101" s="33">
        <f t="shared" si="107"/>
        <v>0</v>
      </c>
      <c r="AC101" s="33">
        <f t="shared" si="108"/>
        <v>0</v>
      </c>
      <c r="AD101" s="33">
        <f t="shared" si="109"/>
        <v>0</v>
      </c>
      <c r="AE101" s="33">
        <f t="shared" si="110"/>
        <v>0</v>
      </c>
      <c r="AF101" s="33">
        <f t="shared" si="111"/>
        <v>0</v>
      </c>
      <c r="AG101" s="33">
        <f t="shared" si="112"/>
        <v>0</v>
      </c>
      <c r="AH101" s="33">
        <f t="shared" si="113"/>
        <v>0</v>
      </c>
      <c r="AI101" s="25" t="s">
        <v>198</v>
      </c>
      <c r="AJ101" s="17">
        <f t="shared" si="114"/>
        <v>0</v>
      </c>
      <c r="AK101" s="17">
        <f t="shared" si="115"/>
        <v>0</v>
      </c>
      <c r="AL101" s="17">
        <f t="shared" si="116"/>
        <v>0</v>
      </c>
      <c r="AN101" s="33">
        <v>21</v>
      </c>
      <c r="AO101" s="33">
        <f>G101*1</f>
        <v>0</v>
      </c>
      <c r="AP101" s="33">
        <f>G101*(1-1)</f>
        <v>0</v>
      </c>
      <c r="AQ101" s="29" t="s">
        <v>6</v>
      </c>
      <c r="AV101" s="33">
        <f t="shared" si="117"/>
        <v>0</v>
      </c>
      <c r="AW101" s="33">
        <f t="shared" si="118"/>
        <v>0</v>
      </c>
      <c r="AX101" s="33">
        <f t="shared" si="119"/>
        <v>0</v>
      </c>
      <c r="AY101" s="34" t="s">
        <v>575</v>
      </c>
      <c r="AZ101" s="34" t="s">
        <v>587</v>
      </c>
      <c r="BA101" s="25" t="s">
        <v>601</v>
      </c>
      <c r="BC101" s="33">
        <f t="shared" si="120"/>
        <v>0</v>
      </c>
      <c r="BD101" s="33">
        <f t="shared" si="121"/>
        <v>0</v>
      </c>
      <c r="BE101" s="33">
        <v>0</v>
      </c>
      <c r="BF101" s="33">
        <f t="shared" si="122"/>
        <v>0</v>
      </c>
      <c r="BH101" s="17">
        <f t="shared" si="123"/>
        <v>0</v>
      </c>
      <c r="BI101" s="17">
        <f t="shared" si="124"/>
        <v>0</v>
      </c>
      <c r="BJ101" s="17">
        <f t="shared" si="125"/>
        <v>0</v>
      </c>
    </row>
    <row r="102" spans="1:62" ht="12.75">
      <c r="A102" s="82" t="s">
        <v>86</v>
      </c>
      <c r="B102" s="82" t="s">
        <v>198</v>
      </c>
      <c r="C102" s="82" t="s">
        <v>280</v>
      </c>
      <c r="D102" s="82" t="s">
        <v>436</v>
      </c>
      <c r="E102" s="82" t="s">
        <v>533</v>
      </c>
      <c r="F102" s="83">
        <v>20</v>
      </c>
      <c r="G102" s="83"/>
      <c r="H102" s="83">
        <f t="shared" si="102"/>
        <v>0</v>
      </c>
      <c r="I102" s="83">
        <f t="shared" si="103"/>
        <v>0</v>
      </c>
      <c r="J102" s="83">
        <f t="shared" si="104"/>
        <v>0</v>
      </c>
      <c r="K102" s="84">
        <f>IF(J250=0,0,J102/J250)</f>
        <v>0</v>
      </c>
      <c r="L102" s="83">
        <v>0.05</v>
      </c>
      <c r="M102" s="83">
        <f t="shared" si="105"/>
        <v>1</v>
      </c>
      <c r="N102" s="85"/>
      <c r="Z102" s="33">
        <f t="shared" si="106"/>
        <v>0</v>
      </c>
      <c r="AB102" s="33">
        <f t="shared" si="107"/>
        <v>0</v>
      </c>
      <c r="AC102" s="33">
        <f t="shared" si="108"/>
        <v>0</v>
      </c>
      <c r="AD102" s="33">
        <f t="shared" si="109"/>
        <v>0</v>
      </c>
      <c r="AE102" s="33">
        <f t="shared" si="110"/>
        <v>0</v>
      </c>
      <c r="AF102" s="33">
        <f t="shared" si="111"/>
        <v>0</v>
      </c>
      <c r="AG102" s="33">
        <f t="shared" si="112"/>
        <v>0</v>
      </c>
      <c r="AH102" s="33">
        <f t="shared" si="113"/>
        <v>0</v>
      </c>
      <c r="AI102" s="25" t="s">
        <v>198</v>
      </c>
      <c r="AJ102" s="17">
        <f t="shared" si="114"/>
        <v>0</v>
      </c>
      <c r="AK102" s="17">
        <f t="shared" si="115"/>
        <v>0</v>
      </c>
      <c r="AL102" s="17">
        <f t="shared" si="116"/>
        <v>0</v>
      </c>
      <c r="AN102" s="33">
        <v>21</v>
      </c>
      <c r="AO102" s="33">
        <f>G102*1</f>
        <v>0</v>
      </c>
      <c r="AP102" s="33">
        <f>G102*(1-1)</f>
        <v>0</v>
      </c>
      <c r="AQ102" s="29" t="s">
        <v>6</v>
      </c>
      <c r="AV102" s="33">
        <f t="shared" si="117"/>
        <v>0</v>
      </c>
      <c r="AW102" s="33">
        <f t="shared" si="118"/>
        <v>0</v>
      </c>
      <c r="AX102" s="33">
        <f t="shared" si="119"/>
        <v>0</v>
      </c>
      <c r="AY102" s="34" t="s">
        <v>575</v>
      </c>
      <c r="AZ102" s="34" t="s">
        <v>587</v>
      </c>
      <c r="BA102" s="25" t="s">
        <v>601</v>
      </c>
      <c r="BC102" s="33">
        <f t="shared" si="120"/>
        <v>0</v>
      </c>
      <c r="BD102" s="33">
        <f t="shared" si="121"/>
        <v>0</v>
      </c>
      <c r="BE102" s="33">
        <v>0</v>
      </c>
      <c r="BF102" s="33">
        <f t="shared" si="122"/>
        <v>1</v>
      </c>
      <c r="BH102" s="17">
        <f t="shared" si="123"/>
        <v>0</v>
      </c>
      <c r="BI102" s="17">
        <f t="shared" si="124"/>
        <v>0</v>
      </c>
      <c r="BJ102" s="17">
        <f t="shared" si="125"/>
        <v>0</v>
      </c>
    </row>
    <row r="103" spans="1:62" ht="12.75">
      <c r="A103" s="86" t="s">
        <v>87</v>
      </c>
      <c r="B103" s="86" t="s">
        <v>198</v>
      </c>
      <c r="C103" s="86" t="s">
        <v>258</v>
      </c>
      <c r="D103" s="86" t="s">
        <v>412</v>
      </c>
      <c r="E103" s="86" t="s">
        <v>530</v>
      </c>
      <c r="F103" s="87">
        <v>129.24</v>
      </c>
      <c r="G103" s="87"/>
      <c r="H103" s="87">
        <f t="shared" si="102"/>
        <v>0</v>
      </c>
      <c r="I103" s="87">
        <f t="shared" si="103"/>
        <v>0</v>
      </c>
      <c r="J103" s="87">
        <f t="shared" si="104"/>
        <v>0</v>
      </c>
      <c r="K103" s="88">
        <f>IF(J250=0,0,J103/J250)</f>
        <v>0</v>
      </c>
      <c r="L103" s="87">
        <v>0</v>
      </c>
      <c r="M103" s="87">
        <f t="shared" si="105"/>
        <v>0</v>
      </c>
      <c r="N103" s="89" t="s">
        <v>559</v>
      </c>
      <c r="Z103" s="33">
        <f t="shared" si="106"/>
        <v>0</v>
      </c>
      <c r="AB103" s="33">
        <f t="shared" si="107"/>
        <v>0</v>
      </c>
      <c r="AC103" s="33">
        <f t="shared" si="108"/>
        <v>0</v>
      </c>
      <c r="AD103" s="33">
        <f t="shared" si="109"/>
        <v>0</v>
      </c>
      <c r="AE103" s="33">
        <f t="shared" si="110"/>
        <v>0</v>
      </c>
      <c r="AF103" s="33">
        <f t="shared" si="111"/>
        <v>0</v>
      </c>
      <c r="AG103" s="33">
        <f t="shared" si="112"/>
        <v>0</v>
      </c>
      <c r="AH103" s="33">
        <f t="shared" si="113"/>
        <v>0</v>
      </c>
      <c r="AI103" s="25" t="s">
        <v>198</v>
      </c>
      <c r="AJ103" s="18">
        <f t="shared" si="114"/>
        <v>0</v>
      </c>
      <c r="AK103" s="18">
        <f t="shared" si="115"/>
        <v>0</v>
      </c>
      <c r="AL103" s="18">
        <f t="shared" si="116"/>
        <v>0</v>
      </c>
      <c r="AN103" s="33">
        <v>21</v>
      </c>
      <c r="AO103" s="33">
        <f>G103*0</f>
        <v>0</v>
      </c>
      <c r="AP103" s="33">
        <f>G103*(1-0)</f>
        <v>0</v>
      </c>
      <c r="AQ103" s="30" t="s">
        <v>6</v>
      </c>
      <c r="AV103" s="33">
        <f t="shared" si="117"/>
        <v>0</v>
      </c>
      <c r="AW103" s="33">
        <f t="shared" si="118"/>
        <v>0</v>
      </c>
      <c r="AX103" s="33">
        <f t="shared" si="119"/>
        <v>0</v>
      </c>
      <c r="AY103" s="34" t="s">
        <v>575</v>
      </c>
      <c r="AZ103" s="34" t="s">
        <v>587</v>
      </c>
      <c r="BA103" s="25" t="s">
        <v>601</v>
      </c>
      <c r="BC103" s="33">
        <f t="shared" si="120"/>
        <v>0</v>
      </c>
      <c r="BD103" s="33">
        <f t="shared" si="121"/>
        <v>0</v>
      </c>
      <c r="BE103" s="33">
        <v>0</v>
      </c>
      <c r="BF103" s="33">
        <f t="shared" si="122"/>
        <v>0</v>
      </c>
      <c r="BH103" s="18">
        <f t="shared" si="123"/>
        <v>0</v>
      </c>
      <c r="BI103" s="18">
        <f t="shared" si="124"/>
        <v>0</v>
      </c>
      <c r="BJ103" s="18">
        <f t="shared" si="125"/>
        <v>0</v>
      </c>
    </row>
    <row r="104" spans="1:62" ht="12.75">
      <c r="A104" s="86" t="s">
        <v>88</v>
      </c>
      <c r="B104" s="86" t="s">
        <v>198</v>
      </c>
      <c r="C104" s="86" t="s">
        <v>224</v>
      </c>
      <c r="D104" s="86" t="s">
        <v>374</v>
      </c>
      <c r="E104" s="86" t="s">
        <v>530</v>
      </c>
      <c r="F104" s="87">
        <v>129.24</v>
      </c>
      <c r="G104" s="87"/>
      <c r="H104" s="87">
        <f t="shared" si="102"/>
        <v>0</v>
      </c>
      <c r="I104" s="87">
        <f t="shared" si="103"/>
        <v>0</v>
      </c>
      <c r="J104" s="87">
        <f t="shared" si="104"/>
        <v>0</v>
      </c>
      <c r="K104" s="88">
        <f>IF(J250=0,0,J104/J250)</f>
        <v>0</v>
      </c>
      <c r="L104" s="87">
        <v>0</v>
      </c>
      <c r="M104" s="87">
        <f t="shared" si="105"/>
        <v>0</v>
      </c>
      <c r="N104" s="89" t="s">
        <v>559</v>
      </c>
      <c r="Z104" s="33">
        <f t="shared" si="106"/>
        <v>0</v>
      </c>
      <c r="AB104" s="33">
        <f t="shared" si="107"/>
        <v>0</v>
      </c>
      <c r="AC104" s="33">
        <f t="shared" si="108"/>
        <v>0</v>
      </c>
      <c r="AD104" s="33">
        <f t="shared" si="109"/>
        <v>0</v>
      </c>
      <c r="AE104" s="33">
        <f t="shared" si="110"/>
        <v>0</v>
      </c>
      <c r="AF104" s="33">
        <f t="shared" si="111"/>
        <v>0</v>
      </c>
      <c r="AG104" s="33">
        <f t="shared" si="112"/>
        <v>0</v>
      </c>
      <c r="AH104" s="33">
        <f t="shared" si="113"/>
        <v>0</v>
      </c>
      <c r="AI104" s="25" t="s">
        <v>198</v>
      </c>
      <c r="AJ104" s="18">
        <f t="shared" si="114"/>
        <v>0</v>
      </c>
      <c r="AK104" s="18">
        <f t="shared" si="115"/>
        <v>0</v>
      </c>
      <c r="AL104" s="18">
        <f t="shared" si="116"/>
        <v>0</v>
      </c>
      <c r="AN104" s="33">
        <v>21</v>
      </c>
      <c r="AO104" s="33">
        <f>G104*0</f>
        <v>0</v>
      </c>
      <c r="AP104" s="33">
        <f>G104*(1-0)</f>
        <v>0</v>
      </c>
      <c r="AQ104" s="30" t="s">
        <v>6</v>
      </c>
      <c r="AV104" s="33">
        <f t="shared" si="117"/>
        <v>0</v>
      </c>
      <c r="AW104" s="33">
        <f t="shared" si="118"/>
        <v>0</v>
      </c>
      <c r="AX104" s="33">
        <f t="shared" si="119"/>
        <v>0</v>
      </c>
      <c r="AY104" s="34" t="s">
        <v>575</v>
      </c>
      <c r="AZ104" s="34" t="s">
        <v>587</v>
      </c>
      <c r="BA104" s="25" t="s">
        <v>601</v>
      </c>
      <c r="BC104" s="33">
        <f t="shared" si="120"/>
        <v>0</v>
      </c>
      <c r="BD104" s="33">
        <f t="shared" si="121"/>
        <v>0</v>
      </c>
      <c r="BE104" s="33">
        <v>0</v>
      </c>
      <c r="BF104" s="33">
        <f t="shared" si="122"/>
        <v>0</v>
      </c>
      <c r="BH104" s="18">
        <f t="shared" si="123"/>
        <v>0</v>
      </c>
      <c r="BI104" s="18">
        <f t="shared" si="124"/>
        <v>0</v>
      </c>
      <c r="BJ104" s="18">
        <f t="shared" si="125"/>
        <v>0</v>
      </c>
    </row>
    <row r="105" spans="1:14" ht="12.75">
      <c r="A105" s="95"/>
      <c r="B105" s="95"/>
      <c r="C105" s="95"/>
      <c r="D105" s="96" t="s">
        <v>375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1:62" ht="12.75">
      <c r="A106" s="86" t="s">
        <v>89</v>
      </c>
      <c r="B106" s="86" t="s">
        <v>198</v>
      </c>
      <c r="C106" s="86" t="s">
        <v>225</v>
      </c>
      <c r="D106" s="86" t="s">
        <v>376</v>
      </c>
      <c r="E106" s="86" t="s">
        <v>530</v>
      </c>
      <c r="F106" s="87">
        <v>646.2</v>
      </c>
      <c r="G106" s="87"/>
      <c r="H106" s="87">
        <f>F106*AO106</f>
        <v>0</v>
      </c>
      <c r="I106" s="87">
        <f>F106*AP106</f>
        <v>0</v>
      </c>
      <c r="J106" s="87">
        <f>F106*G106</f>
        <v>0</v>
      </c>
      <c r="K106" s="88">
        <f>IF(J250=0,0,J106/J250)</f>
        <v>0</v>
      </c>
      <c r="L106" s="87">
        <v>0</v>
      </c>
      <c r="M106" s="87">
        <f>F106*L106</f>
        <v>0</v>
      </c>
      <c r="N106" s="89" t="s">
        <v>559</v>
      </c>
      <c r="Z106" s="33">
        <f>IF(AQ106="5",BJ106,0)</f>
        <v>0</v>
      </c>
      <c r="AB106" s="33">
        <f>IF(AQ106="1",BH106,0)</f>
        <v>0</v>
      </c>
      <c r="AC106" s="33">
        <f>IF(AQ106="1",BI106,0)</f>
        <v>0</v>
      </c>
      <c r="AD106" s="33">
        <f>IF(AQ106="7",BH106,0)</f>
        <v>0</v>
      </c>
      <c r="AE106" s="33">
        <f>IF(AQ106="7",BI106,0)</f>
        <v>0</v>
      </c>
      <c r="AF106" s="33">
        <f>IF(AQ106="2",BH106,0)</f>
        <v>0</v>
      </c>
      <c r="AG106" s="33">
        <f>IF(AQ106="2",BI106,0)</f>
        <v>0</v>
      </c>
      <c r="AH106" s="33">
        <f>IF(AQ106="0",BJ106,0)</f>
        <v>0</v>
      </c>
      <c r="AI106" s="25" t="s">
        <v>198</v>
      </c>
      <c r="AJ106" s="18">
        <f>IF(AN106=0,J106,0)</f>
        <v>0</v>
      </c>
      <c r="AK106" s="18">
        <f>IF(AN106=15,J106,0)</f>
        <v>0</v>
      </c>
      <c r="AL106" s="18">
        <f>IF(AN106=21,J106,0)</f>
        <v>0</v>
      </c>
      <c r="AN106" s="33">
        <v>21</v>
      </c>
      <c r="AO106" s="33">
        <f>G106*0</f>
        <v>0</v>
      </c>
      <c r="AP106" s="33">
        <f>G106*(1-0)</f>
        <v>0</v>
      </c>
      <c r="AQ106" s="30" t="s">
        <v>6</v>
      </c>
      <c r="AV106" s="33">
        <f>AW106+AX106</f>
        <v>0</v>
      </c>
      <c r="AW106" s="33">
        <f>F106*AO106</f>
        <v>0</v>
      </c>
      <c r="AX106" s="33">
        <f>F106*AP106</f>
        <v>0</v>
      </c>
      <c r="AY106" s="34" t="s">
        <v>575</v>
      </c>
      <c r="AZ106" s="34" t="s">
        <v>587</v>
      </c>
      <c r="BA106" s="25" t="s">
        <v>601</v>
      </c>
      <c r="BC106" s="33">
        <f>AW106+AX106</f>
        <v>0</v>
      </c>
      <c r="BD106" s="33">
        <f>G106/(100-BE106)*100</f>
        <v>0</v>
      </c>
      <c r="BE106" s="33">
        <v>0</v>
      </c>
      <c r="BF106" s="33">
        <f>M106</f>
        <v>0</v>
      </c>
      <c r="BH106" s="18">
        <f>F106*AO106</f>
        <v>0</v>
      </c>
      <c r="BI106" s="18">
        <f>F106*AP106</f>
        <v>0</v>
      </c>
      <c r="BJ106" s="18">
        <f>F106*G106</f>
        <v>0</v>
      </c>
    </row>
    <row r="107" spans="1:14" ht="12.75">
      <c r="A107" s="95"/>
      <c r="B107" s="95"/>
      <c r="C107" s="95"/>
      <c r="D107" s="96" t="s">
        <v>377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1:62" ht="12.75">
      <c r="A108" s="86" t="s">
        <v>90</v>
      </c>
      <c r="B108" s="86" t="s">
        <v>198</v>
      </c>
      <c r="C108" s="86" t="s">
        <v>214</v>
      </c>
      <c r="D108" s="86" t="s">
        <v>370</v>
      </c>
      <c r="E108" s="86" t="s">
        <v>530</v>
      </c>
      <c r="F108" s="87">
        <v>129.24</v>
      </c>
      <c r="G108" s="87"/>
      <c r="H108" s="87">
        <f>F108*AO108</f>
        <v>0</v>
      </c>
      <c r="I108" s="87">
        <f>F108*AP108</f>
        <v>0</v>
      </c>
      <c r="J108" s="87">
        <f>F108*G108</f>
        <v>0</v>
      </c>
      <c r="K108" s="88">
        <f>IF(J250=0,0,J108/J250)</f>
        <v>0</v>
      </c>
      <c r="L108" s="87">
        <v>0</v>
      </c>
      <c r="M108" s="87">
        <f>F108*L108</f>
        <v>0</v>
      </c>
      <c r="N108" s="89" t="s">
        <v>559</v>
      </c>
      <c r="Z108" s="33">
        <f>IF(AQ108="5",BJ108,0)</f>
        <v>0</v>
      </c>
      <c r="AB108" s="33">
        <f>IF(AQ108="1",BH108,0)</f>
        <v>0</v>
      </c>
      <c r="AC108" s="33">
        <f>IF(AQ108="1",BI108,0)</f>
        <v>0</v>
      </c>
      <c r="AD108" s="33">
        <f>IF(AQ108="7",BH108,0)</f>
        <v>0</v>
      </c>
      <c r="AE108" s="33">
        <f>IF(AQ108="7",BI108,0)</f>
        <v>0</v>
      </c>
      <c r="AF108" s="33">
        <f>IF(AQ108="2",BH108,0)</f>
        <v>0</v>
      </c>
      <c r="AG108" s="33">
        <f>IF(AQ108="2",BI108,0)</f>
        <v>0</v>
      </c>
      <c r="AH108" s="33">
        <f>IF(AQ108="0",BJ108,0)</f>
        <v>0</v>
      </c>
      <c r="AI108" s="25" t="s">
        <v>198</v>
      </c>
      <c r="AJ108" s="18">
        <f>IF(AN108=0,J108,0)</f>
        <v>0</v>
      </c>
      <c r="AK108" s="18">
        <f>IF(AN108=15,J108,0)</f>
        <v>0</v>
      </c>
      <c r="AL108" s="18">
        <f>IF(AN108=21,J108,0)</f>
        <v>0</v>
      </c>
      <c r="AN108" s="33">
        <v>21</v>
      </c>
      <c r="AO108" s="33">
        <f>G108*0</f>
        <v>0</v>
      </c>
      <c r="AP108" s="33">
        <f>G108*(1-0)</f>
        <v>0</v>
      </c>
      <c r="AQ108" s="30" t="s">
        <v>6</v>
      </c>
      <c r="AV108" s="33">
        <f>AW108+AX108</f>
        <v>0</v>
      </c>
      <c r="AW108" s="33">
        <f>F108*AO108</f>
        <v>0</v>
      </c>
      <c r="AX108" s="33">
        <f>F108*AP108</f>
        <v>0</v>
      </c>
      <c r="AY108" s="34" t="s">
        <v>575</v>
      </c>
      <c r="AZ108" s="34" t="s">
        <v>587</v>
      </c>
      <c r="BA108" s="25" t="s">
        <v>601</v>
      </c>
      <c r="BC108" s="33">
        <f>AW108+AX108</f>
        <v>0</v>
      </c>
      <c r="BD108" s="33">
        <f>G108/(100-BE108)*100</f>
        <v>0</v>
      </c>
      <c r="BE108" s="33">
        <v>0</v>
      </c>
      <c r="BF108" s="33">
        <f>M108</f>
        <v>0</v>
      </c>
      <c r="BH108" s="18">
        <f>F108*AO108</f>
        <v>0</v>
      </c>
      <c r="BI108" s="18">
        <f>F108*AP108</f>
        <v>0</v>
      </c>
      <c r="BJ108" s="18">
        <f>F108*G108</f>
        <v>0</v>
      </c>
    </row>
    <row r="109" spans="1:62" ht="12.75">
      <c r="A109" s="82" t="s">
        <v>91</v>
      </c>
      <c r="B109" s="82" t="s">
        <v>198</v>
      </c>
      <c r="C109" s="82" t="s">
        <v>259</v>
      </c>
      <c r="D109" s="82" t="s">
        <v>413</v>
      </c>
      <c r="E109" s="82" t="s">
        <v>529</v>
      </c>
      <c r="F109" s="83">
        <v>219.708</v>
      </c>
      <c r="G109" s="83"/>
      <c r="H109" s="83">
        <f>F109*AO109</f>
        <v>0</v>
      </c>
      <c r="I109" s="83">
        <f>F109*AP109</f>
        <v>0</v>
      </c>
      <c r="J109" s="83">
        <f>F109*G109</f>
        <v>0</v>
      </c>
      <c r="K109" s="84">
        <f>IF(J250=0,0,J109/J250)</f>
        <v>0</v>
      </c>
      <c r="L109" s="83">
        <v>1</v>
      </c>
      <c r="M109" s="83">
        <f>F109*L109</f>
        <v>219.708</v>
      </c>
      <c r="N109" s="85" t="s">
        <v>559</v>
      </c>
      <c r="Z109" s="33">
        <f>IF(AQ109="5",BJ109,0)</f>
        <v>0</v>
      </c>
      <c r="AB109" s="33">
        <f>IF(AQ109="1",BH109,0)</f>
        <v>0</v>
      </c>
      <c r="AC109" s="33">
        <f>IF(AQ109="1",BI109,0)</f>
        <v>0</v>
      </c>
      <c r="AD109" s="33">
        <f>IF(AQ109="7",BH109,0)</f>
        <v>0</v>
      </c>
      <c r="AE109" s="33">
        <f>IF(AQ109="7",BI109,0)</f>
        <v>0</v>
      </c>
      <c r="AF109" s="33">
        <f>IF(AQ109="2",BH109,0)</f>
        <v>0</v>
      </c>
      <c r="AG109" s="33">
        <f>IF(AQ109="2",BI109,0)</f>
        <v>0</v>
      </c>
      <c r="AH109" s="33">
        <f>IF(AQ109="0",BJ109,0)</f>
        <v>0</v>
      </c>
      <c r="AI109" s="25" t="s">
        <v>198</v>
      </c>
      <c r="AJ109" s="17">
        <f>IF(AN109=0,J109,0)</f>
        <v>0</v>
      </c>
      <c r="AK109" s="17">
        <f>IF(AN109=15,J109,0)</f>
        <v>0</v>
      </c>
      <c r="AL109" s="17">
        <f>IF(AN109=21,J109,0)</f>
        <v>0</v>
      </c>
      <c r="AN109" s="33">
        <v>21</v>
      </c>
      <c r="AO109" s="33">
        <f>G109*1</f>
        <v>0</v>
      </c>
      <c r="AP109" s="33">
        <f>G109*(1-1)</f>
        <v>0</v>
      </c>
      <c r="AQ109" s="29" t="s">
        <v>6</v>
      </c>
      <c r="AV109" s="33">
        <f>AW109+AX109</f>
        <v>0</v>
      </c>
      <c r="AW109" s="33">
        <f>F109*AO109</f>
        <v>0</v>
      </c>
      <c r="AX109" s="33">
        <f>F109*AP109</f>
        <v>0</v>
      </c>
      <c r="AY109" s="34" t="s">
        <v>575</v>
      </c>
      <c r="AZ109" s="34" t="s">
        <v>587</v>
      </c>
      <c r="BA109" s="25" t="s">
        <v>601</v>
      </c>
      <c r="BC109" s="33">
        <f>AW109+AX109</f>
        <v>0</v>
      </c>
      <c r="BD109" s="33">
        <f>G109/(100-BE109)*100</f>
        <v>0</v>
      </c>
      <c r="BE109" s="33">
        <v>0</v>
      </c>
      <c r="BF109" s="33">
        <f>M109</f>
        <v>219.708</v>
      </c>
      <c r="BH109" s="17">
        <f>F109*AO109</f>
        <v>0</v>
      </c>
      <c r="BI109" s="17">
        <f>F109*AP109</f>
        <v>0</v>
      </c>
      <c r="BJ109" s="17">
        <f>F109*G109</f>
        <v>0</v>
      </c>
    </row>
    <row r="110" spans="1:62" ht="12.75">
      <c r="A110" s="86" t="s">
        <v>92</v>
      </c>
      <c r="B110" s="86" t="s">
        <v>198</v>
      </c>
      <c r="C110" s="86" t="s">
        <v>281</v>
      </c>
      <c r="D110" s="86" t="s">
        <v>437</v>
      </c>
      <c r="E110" s="86" t="s">
        <v>534</v>
      </c>
      <c r="F110" s="87">
        <v>24</v>
      </c>
      <c r="G110" s="87"/>
      <c r="H110" s="87">
        <f>F110*AO110</f>
        <v>0</v>
      </c>
      <c r="I110" s="87">
        <f>F110*AP110</f>
        <v>0</v>
      </c>
      <c r="J110" s="87">
        <f>F110*G110</f>
        <v>0</v>
      </c>
      <c r="K110" s="88">
        <f>IF(J250=0,0,J110/J250)</f>
        <v>0</v>
      </c>
      <c r="L110" s="87">
        <v>0.00021</v>
      </c>
      <c r="M110" s="87">
        <f>F110*L110</f>
        <v>0.00504</v>
      </c>
      <c r="N110" s="89" t="s">
        <v>559</v>
      </c>
      <c r="Z110" s="33">
        <f>IF(AQ110="5",BJ110,0)</f>
        <v>0</v>
      </c>
      <c r="AB110" s="33">
        <f>IF(AQ110="1",BH110,0)</f>
        <v>0</v>
      </c>
      <c r="AC110" s="33">
        <f>IF(AQ110="1",BI110,0)</f>
        <v>0</v>
      </c>
      <c r="AD110" s="33">
        <f>IF(AQ110="7",BH110,0)</f>
        <v>0</v>
      </c>
      <c r="AE110" s="33">
        <f>IF(AQ110="7",BI110,0)</f>
        <v>0</v>
      </c>
      <c r="AF110" s="33">
        <f>IF(AQ110="2",BH110,0)</f>
        <v>0</v>
      </c>
      <c r="AG110" s="33">
        <f>IF(AQ110="2",BI110,0)</f>
        <v>0</v>
      </c>
      <c r="AH110" s="33">
        <f>IF(AQ110="0",BJ110,0)</f>
        <v>0</v>
      </c>
      <c r="AI110" s="25" t="s">
        <v>198</v>
      </c>
      <c r="AJ110" s="18">
        <f>IF(AN110=0,J110,0)</f>
        <v>0</v>
      </c>
      <c r="AK110" s="18">
        <f>IF(AN110=15,J110,0)</f>
        <v>0</v>
      </c>
      <c r="AL110" s="18">
        <f>IF(AN110=21,J110,0)</f>
        <v>0</v>
      </c>
      <c r="AN110" s="33">
        <v>21</v>
      </c>
      <c r="AO110" s="33">
        <f>G110*0.350021881838074</f>
        <v>0</v>
      </c>
      <c r="AP110" s="33">
        <f>G110*(1-0.350021881838074)</f>
        <v>0</v>
      </c>
      <c r="AQ110" s="30" t="s">
        <v>6</v>
      </c>
      <c r="AV110" s="33">
        <f>AW110+AX110</f>
        <v>0</v>
      </c>
      <c r="AW110" s="33">
        <f>F110*AO110</f>
        <v>0</v>
      </c>
      <c r="AX110" s="33">
        <f>F110*AP110</f>
        <v>0</v>
      </c>
      <c r="AY110" s="34" t="s">
        <v>575</v>
      </c>
      <c r="AZ110" s="34" t="s">
        <v>587</v>
      </c>
      <c r="BA110" s="25" t="s">
        <v>601</v>
      </c>
      <c r="BC110" s="33">
        <f>AW110+AX110</f>
        <v>0</v>
      </c>
      <c r="BD110" s="33">
        <f>G110/(100-BE110)*100</f>
        <v>0</v>
      </c>
      <c r="BE110" s="33">
        <v>0</v>
      </c>
      <c r="BF110" s="33">
        <f>M110</f>
        <v>0.00504</v>
      </c>
      <c r="BH110" s="18">
        <f>F110*AO110</f>
        <v>0</v>
      </c>
      <c r="BI110" s="18">
        <f>F110*AP110</f>
        <v>0</v>
      </c>
      <c r="BJ110" s="18">
        <f>F110*G110</f>
        <v>0</v>
      </c>
    </row>
    <row r="111" spans="1:47" ht="12.75">
      <c r="A111" s="90"/>
      <c r="B111" s="91" t="s">
        <v>198</v>
      </c>
      <c r="C111" s="91" t="s">
        <v>282</v>
      </c>
      <c r="D111" s="91" t="s">
        <v>438</v>
      </c>
      <c r="E111" s="90" t="s">
        <v>5</v>
      </c>
      <c r="F111" s="90" t="s">
        <v>5</v>
      </c>
      <c r="G111" s="90"/>
      <c r="H111" s="92">
        <f>SUM(H112:H112)</f>
        <v>0</v>
      </c>
      <c r="I111" s="92">
        <f>SUM(I112:I112)</f>
        <v>0</v>
      </c>
      <c r="J111" s="92">
        <f>SUM(J112:J112)</f>
        <v>0</v>
      </c>
      <c r="K111" s="93">
        <f>IF(J250=0,0,J111/J250)</f>
        <v>0</v>
      </c>
      <c r="L111" s="94"/>
      <c r="M111" s="92">
        <f>SUM(M112:M112)</f>
        <v>0</v>
      </c>
      <c r="N111" s="94"/>
      <c r="AI111" s="25" t="s">
        <v>198</v>
      </c>
      <c r="AS111" s="36">
        <f>SUM(AJ112:AJ112)</f>
        <v>0</v>
      </c>
      <c r="AT111" s="36">
        <f>SUM(AK112:AK112)</f>
        <v>0</v>
      </c>
      <c r="AU111" s="36">
        <f>SUM(AL112:AL112)</f>
        <v>0</v>
      </c>
    </row>
    <row r="112" spans="1:62" ht="12.75">
      <c r="A112" s="86" t="s">
        <v>93</v>
      </c>
      <c r="B112" s="86" t="s">
        <v>198</v>
      </c>
      <c r="C112" s="86" t="s">
        <v>283</v>
      </c>
      <c r="D112" s="86" t="s">
        <v>439</v>
      </c>
      <c r="E112" s="86" t="s">
        <v>529</v>
      </c>
      <c r="F112" s="87">
        <v>2243.6</v>
      </c>
      <c r="G112" s="87"/>
      <c r="H112" s="87">
        <f>F112*AO112</f>
        <v>0</v>
      </c>
      <c r="I112" s="87">
        <f>F112*AP112</f>
        <v>0</v>
      </c>
      <c r="J112" s="87">
        <f>F112*G112</f>
        <v>0</v>
      </c>
      <c r="K112" s="88">
        <f>IF(J250=0,0,J112/J250)</f>
        <v>0</v>
      </c>
      <c r="L112" s="87">
        <v>0</v>
      </c>
      <c r="M112" s="87">
        <f>F112*L112</f>
        <v>0</v>
      </c>
      <c r="N112" s="89" t="s">
        <v>559</v>
      </c>
      <c r="Z112" s="33">
        <f>IF(AQ112="5",BJ112,0)</f>
        <v>0</v>
      </c>
      <c r="AB112" s="33">
        <f>IF(AQ112="1",BH112,0)</f>
        <v>0</v>
      </c>
      <c r="AC112" s="33">
        <f>IF(AQ112="1",BI112,0)</f>
        <v>0</v>
      </c>
      <c r="AD112" s="33">
        <f>IF(AQ112="7",BH112,0)</f>
        <v>0</v>
      </c>
      <c r="AE112" s="33">
        <f>IF(AQ112="7",BI112,0)</f>
        <v>0</v>
      </c>
      <c r="AF112" s="33">
        <f>IF(AQ112="2",BH112,0)</f>
        <v>0</v>
      </c>
      <c r="AG112" s="33">
        <f>IF(AQ112="2",BI112,0)</f>
        <v>0</v>
      </c>
      <c r="AH112" s="33">
        <f>IF(AQ112="0",BJ112,0)</f>
        <v>0</v>
      </c>
      <c r="AI112" s="25" t="s">
        <v>198</v>
      </c>
      <c r="AJ112" s="18">
        <f>IF(AN112=0,J112,0)</f>
        <v>0</v>
      </c>
      <c r="AK112" s="18">
        <f>IF(AN112=15,J112,0)</f>
        <v>0</v>
      </c>
      <c r="AL112" s="18">
        <f>IF(AN112=21,J112,0)</f>
        <v>0</v>
      </c>
      <c r="AN112" s="33">
        <v>21</v>
      </c>
      <c r="AO112" s="33">
        <f>G112*0</f>
        <v>0</v>
      </c>
      <c r="AP112" s="33">
        <f>G112*(1-0)</f>
        <v>0</v>
      </c>
      <c r="AQ112" s="30" t="s">
        <v>10</v>
      </c>
      <c r="AV112" s="33">
        <f>AW112+AX112</f>
        <v>0</v>
      </c>
      <c r="AW112" s="33">
        <f>F112*AO112</f>
        <v>0</v>
      </c>
      <c r="AX112" s="33">
        <f>F112*AP112</f>
        <v>0</v>
      </c>
      <c r="AY112" s="34" t="s">
        <v>576</v>
      </c>
      <c r="AZ112" s="34" t="s">
        <v>589</v>
      </c>
      <c r="BA112" s="25" t="s">
        <v>601</v>
      </c>
      <c r="BC112" s="33">
        <f>AW112+AX112</f>
        <v>0</v>
      </c>
      <c r="BD112" s="33">
        <f>G112/(100-BE112)*100</f>
        <v>0</v>
      </c>
      <c r="BE112" s="33">
        <v>0</v>
      </c>
      <c r="BF112" s="33">
        <f>M112</f>
        <v>0</v>
      </c>
      <c r="BH112" s="18">
        <f>F112*AO112</f>
        <v>0</v>
      </c>
      <c r="BI112" s="18">
        <f>F112*AP112</f>
        <v>0</v>
      </c>
      <c r="BJ112" s="18">
        <f>F112*G112</f>
        <v>0</v>
      </c>
    </row>
    <row r="113" spans="1:47" ht="12.75">
      <c r="A113" s="90"/>
      <c r="B113" s="91" t="s">
        <v>198</v>
      </c>
      <c r="C113" s="91"/>
      <c r="D113" s="91" t="s">
        <v>440</v>
      </c>
      <c r="E113" s="90" t="s">
        <v>5</v>
      </c>
      <c r="F113" s="90" t="s">
        <v>5</v>
      </c>
      <c r="G113" s="90"/>
      <c r="H113" s="92">
        <f>SUM(H114:H114)</f>
        <v>0</v>
      </c>
      <c r="I113" s="92">
        <f>SUM(I114:I114)</f>
        <v>0</v>
      </c>
      <c r="J113" s="92">
        <f>SUM(J114:J114)</f>
        <v>0</v>
      </c>
      <c r="K113" s="93">
        <f>IF(J250=0,0,J113/J250)</f>
        <v>0</v>
      </c>
      <c r="L113" s="94"/>
      <c r="M113" s="92">
        <f>SUM(M114:M114)</f>
        <v>0</v>
      </c>
      <c r="N113" s="94"/>
      <c r="AI113" s="25" t="s">
        <v>198</v>
      </c>
      <c r="AS113" s="36">
        <f>SUM(AJ114:AJ114)</f>
        <v>0</v>
      </c>
      <c r="AT113" s="36">
        <f>SUM(AK114:AK114)</f>
        <v>0</v>
      </c>
      <c r="AU113" s="36">
        <f>SUM(AL114:AL114)</f>
        <v>0</v>
      </c>
    </row>
    <row r="114" spans="1:62" ht="12.75">
      <c r="A114" s="82" t="s">
        <v>94</v>
      </c>
      <c r="B114" s="82" t="s">
        <v>198</v>
      </c>
      <c r="C114" s="82" t="s">
        <v>284</v>
      </c>
      <c r="D114" s="82" t="s">
        <v>441</v>
      </c>
      <c r="E114" s="82" t="s">
        <v>526</v>
      </c>
      <c r="F114" s="83">
        <v>355.1</v>
      </c>
      <c r="G114" s="83"/>
      <c r="H114" s="83">
        <f>F114*AO114</f>
        <v>0</v>
      </c>
      <c r="I114" s="83">
        <f>F114*AP114</f>
        <v>0</v>
      </c>
      <c r="J114" s="83">
        <f>F114*G114</f>
        <v>0</v>
      </c>
      <c r="K114" s="84">
        <f>IF(J250=0,0,J114/J250)</f>
        <v>0</v>
      </c>
      <c r="L114" s="83">
        <v>0</v>
      </c>
      <c r="M114" s="83">
        <f>F114*L114</f>
        <v>0</v>
      </c>
      <c r="N114" s="85"/>
      <c r="Z114" s="33">
        <f>IF(AQ114="5",BJ114,0)</f>
        <v>0</v>
      </c>
      <c r="AB114" s="33">
        <f>IF(AQ114="1",BH114,0)</f>
        <v>0</v>
      </c>
      <c r="AC114" s="33">
        <f>IF(AQ114="1",BI114,0)</f>
        <v>0</v>
      </c>
      <c r="AD114" s="33">
        <f>IF(AQ114="7",BH114,0)</f>
        <v>0</v>
      </c>
      <c r="AE114" s="33">
        <f>IF(AQ114="7",BI114,0)</f>
        <v>0</v>
      </c>
      <c r="AF114" s="33">
        <f>IF(AQ114="2",BH114,0)</f>
        <v>0</v>
      </c>
      <c r="AG114" s="33">
        <f>IF(AQ114="2",BI114,0)</f>
        <v>0</v>
      </c>
      <c r="AH114" s="33">
        <f>IF(AQ114="0",BJ114,0)</f>
        <v>0</v>
      </c>
      <c r="AI114" s="25" t="s">
        <v>198</v>
      </c>
      <c r="AJ114" s="17">
        <f>IF(AN114=0,J114,0)</f>
        <v>0</v>
      </c>
      <c r="AK114" s="17">
        <f>IF(AN114=15,J114,0)</f>
        <v>0</v>
      </c>
      <c r="AL114" s="17">
        <f>IF(AN114=21,J114,0)</f>
        <v>0</v>
      </c>
      <c r="AN114" s="33">
        <v>21</v>
      </c>
      <c r="AO114" s="33">
        <f>G114*1</f>
        <v>0</v>
      </c>
      <c r="AP114" s="33">
        <f>G114*(1-1)</f>
        <v>0</v>
      </c>
      <c r="AQ114" s="29" t="s">
        <v>570</v>
      </c>
      <c r="AV114" s="33">
        <f>AW114+AX114</f>
        <v>0</v>
      </c>
      <c r="AW114" s="33">
        <f>F114*AO114</f>
        <v>0</v>
      </c>
      <c r="AX114" s="33">
        <f>F114*AP114</f>
        <v>0</v>
      </c>
      <c r="AY114" s="34" t="s">
        <v>577</v>
      </c>
      <c r="AZ114" s="34" t="s">
        <v>590</v>
      </c>
      <c r="BA114" s="25" t="s">
        <v>601</v>
      </c>
      <c r="BC114" s="33">
        <f>AW114+AX114</f>
        <v>0</v>
      </c>
      <c r="BD114" s="33">
        <f>G114/(100-BE114)*100</f>
        <v>0</v>
      </c>
      <c r="BE114" s="33">
        <v>0</v>
      </c>
      <c r="BF114" s="33">
        <f>M114</f>
        <v>0</v>
      </c>
      <c r="BH114" s="17">
        <f>F114*AO114</f>
        <v>0</v>
      </c>
      <c r="BI114" s="17">
        <f>F114*AP114</f>
        <v>0</v>
      </c>
      <c r="BJ114" s="17">
        <f>F114*G114</f>
        <v>0</v>
      </c>
    </row>
    <row r="115" spans="1:14" ht="12.75">
      <c r="A115" s="97"/>
      <c r="B115" s="98" t="s">
        <v>199</v>
      </c>
      <c r="C115" s="98"/>
      <c r="D115" s="98" t="s">
        <v>442</v>
      </c>
      <c r="E115" s="97" t="s">
        <v>5</v>
      </c>
      <c r="F115" s="97" t="s">
        <v>5</v>
      </c>
      <c r="G115" s="97"/>
      <c r="H115" s="99">
        <f>H116+H119+H122+H154+H190+H201+H215</f>
        <v>0</v>
      </c>
      <c r="I115" s="99">
        <f>I116+I119+I122+I154+I190+I201+I215</f>
        <v>0</v>
      </c>
      <c r="J115" s="99">
        <f>J116+J119+J122+J154+J190+J201+J215</f>
        <v>0</v>
      </c>
      <c r="K115" s="100">
        <f>IF(J250=0,0,J115/J250)</f>
        <v>0</v>
      </c>
      <c r="L115" s="101"/>
      <c r="M115" s="99">
        <f>M116+M119+M122+M154+M190+M201+M215</f>
        <v>3389.2377226</v>
      </c>
      <c r="N115" s="101"/>
    </row>
    <row r="116" spans="1:47" ht="12.75">
      <c r="A116" s="90"/>
      <c r="B116" s="91" t="s">
        <v>199</v>
      </c>
      <c r="C116" s="91" t="s">
        <v>6</v>
      </c>
      <c r="D116" s="91" t="s">
        <v>347</v>
      </c>
      <c r="E116" s="90" t="s">
        <v>5</v>
      </c>
      <c r="F116" s="90" t="s">
        <v>5</v>
      </c>
      <c r="G116" s="90"/>
      <c r="H116" s="92">
        <f>SUM(H117:H118)</f>
        <v>0</v>
      </c>
      <c r="I116" s="92">
        <f>SUM(I117:I118)</f>
        <v>0</v>
      </c>
      <c r="J116" s="92">
        <f>SUM(J117:J118)</f>
        <v>0</v>
      </c>
      <c r="K116" s="93">
        <f>IF(J250=0,0,J116/J250)</f>
        <v>0</v>
      </c>
      <c r="L116" s="94"/>
      <c r="M116" s="92">
        <f>SUM(M117:M118)</f>
        <v>0</v>
      </c>
      <c r="N116" s="94"/>
      <c r="AI116" s="25" t="s">
        <v>199</v>
      </c>
      <c r="AS116" s="36">
        <f>SUM(AJ117:AJ118)</f>
        <v>0</v>
      </c>
      <c r="AT116" s="36">
        <f>SUM(AK117:AK118)</f>
        <v>0</v>
      </c>
      <c r="AU116" s="36">
        <f>SUM(AL117:AL118)</f>
        <v>0</v>
      </c>
    </row>
    <row r="117" spans="1:62" ht="12.75">
      <c r="A117" s="86" t="s">
        <v>95</v>
      </c>
      <c r="B117" s="86" t="s">
        <v>199</v>
      </c>
      <c r="C117" s="86" t="s">
        <v>204</v>
      </c>
      <c r="D117" s="86" t="s">
        <v>350</v>
      </c>
      <c r="E117" s="86" t="s">
        <v>527</v>
      </c>
      <c r="F117" s="87">
        <v>4.5</v>
      </c>
      <c r="G117" s="87"/>
      <c r="H117" s="87">
        <f>F117*AO117</f>
        <v>0</v>
      </c>
      <c r="I117" s="87">
        <f>F117*AP117</f>
        <v>0</v>
      </c>
      <c r="J117" s="87">
        <f>F117*G117</f>
        <v>0</v>
      </c>
      <c r="K117" s="88">
        <f>IF(J250=0,0,J117/J250)</f>
        <v>0</v>
      </c>
      <c r="L117" s="87">
        <v>0</v>
      </c>
      <c r="M117" s="87">
        <f>F117*L117</f>
        <v>0</v>
      </c>
      <c r="N117" s="89"/>
      <c r="Z117" s="33">
        <f>IF(AQ117="5",BJ117,0)</f>
        <v>0</v>
      </c>
      <c r="AB117" s="33">
        <f>IF(AQ117="1",BH117,0)</f>
        <v>0</v>
      </c>
      <c r="AC117" s="33">
        <f>IF(AQ117="1",BI117,0)</f>
        <v>0</v>
      </c>
      <c r="AD117" s="33">
        <f>IF(AQ117="7",BH117,0)</f>
        <v>0</v>
      </c>
      <c r="AE117" s="33">
        <f>IF(AQ117="7",BI117,0)</f>
        <v>0</v>
      </c>
      <c r="AF117" s="33">
        <f>IF(AQ117="2",BH117,0)</f>
        <v>0</v>
      </c>
      <c r="AG117" s="33">
        <f>IF(AQ117="2",BI117,0)</f>
        <v>0</v>
      </c>
      <c r="AH117" s="33">
        <f>IF(AQ117="0",BJ117,0)</f>
        <v>0</v>
      </c>
      <c r="AI117" s="25" t="s">
        <v>199</v>
      </c>
      <c r="AJ117" s="18">
        <f>IF(AN117=0,J117,0)</f>
        <v>0</v>
      </c>
      <c r="AK117" s="18">
        <f>IF(AN117=15,J117,0)</f>
        <v>0</v>
      </c>
      <c r="AL117" s="18">
        <f>IF(AN117=21,J117,0)</f>
        <v>0</v>
      </c>
      <c r="AN117" s="33">
        <v>21</v>
      </c>
      <c r="AO117" s="33">
        <f>G117*0</f>
        <v>0</v>
      </c>
      <c r="AP117" s="33">
        <f>G117*(1-0)</f>
        <v>0</v>
      </c>
      <c r="AQ117" s="30" t="s">
        <v>6</v>
      </c>
      <c r="AV117" s="33">
        <f>AW117+AX117</f>
        <v>0</v>
      </c>
      <c r="AW117" s="33">
        <f>F117*AO117</f>
        <v>0</v>
      </c>
      <c r="AX117" s="33">
        <f>F117*AP117</f>
        <v>0</v>
      </c>
      <c r="AY117" s="34" t="s">
        <v>571</v>
      </c>
      <c r="AZ117" s="34" t="s">
        <v>591</v>
      </c>
      <c r="BA117" s="25" t="s">
        <v>602</v>
      </c>
      <c r="BC117" s="33">
        <f>AW117+AX117</f>
        <v>0</v>
      </c>
      <c r="BD117" s="33">
        <f>G117/(100-BE117)*100</f>
        <v>0</v>
      </c>
      <c r="BE117" s="33">
        <v>0</v>
      </c>
      <c r="BF117" s="33">
        <f>M117</f>
        <v>0</v>
      </c>
      <c r="BH117" s="18">
        <f>F117*AO117</f>
        <v>0</v>
      </c>
      <c r="BI117" s="18">
        <f>F117*AP117</f>
        <v>0</v>
      </c>
      <c r="BJ117" s="18">
        <f>F117*G117</f>
        <v>0</v>
      </c>
    </row>
    <row r="118" spans="1:62" ht="12.75">
      <c r="A118" s="86" t="s">
        <v>96</v>
      </c>
      <c r="B118" s="86" t="s">
        <v>199</v>
      </c>
      <c r="C118" s="86" t="s">
        <v>205</v>
      </c>
      <c r="D118" s="86" t="s">
        <v>443</v>
      </c>
      <c r="E118" s="86" t="s">
        <v>527</v>
      </c>
      <c r="F118" s="87">
        <v>1</v>
      </c>
      <c r="G118" s="87"/>
      <c r="H118" s="87">
        <f>F118*AO118</f>
        <v>0</v>
      </c>
      <c r="I118" s="87">
        <f>F118*AP118</f>
        <v>0</v>
      </c>
      <c r="J118" s="87">
        <f>F118*G118</f>
        <v>0</v>
      </c>
      <c r="K118" s="88">
        <f>IF(J250=0,0,J118/J250)</f>
        <v>0</v>
      </c>
      <c r="L118" s="87">
        <v>0</v>
      </c>
      <c r="M118" s="87">
        <f>F118*L118</f>
        <v>0</v>
      </c>
      <c r="N118" s="89"/>
      <c r="Z118" s="33">
        <f>IF(AQ118="5",BJ118,0)</f>
        <v>0</v>
      </c>
      <c r="AB118" s="33">
        <f>IF(AQ118="1",BH118,0)</f>
        <v>0</v>
      </c>
      <c r="AC118" s="33">
        <f>IF(AQ118="1",BI118,0)</f>
        <v>0</v>
      </c>
      <c r="AD118" s="33">
        <f>IF(AQ118="7",BH118,0)</f>
        <v>0</v>
      </c>
      <c r="AE118" s="33">
        <f>IF(AQ118="7",BI118,0)</f>
        <v>0</v>
      </c>
      <c r="AF118" s="33">
        <f>IF(AQ118="2",BH118,0)</f>
        <v>0</v>
      </c>
      <c r="AG118" s="33">
        <f>IF(AQ118="2",BI118,0)</f>
        <v>0</v>
      </c>
      <c r="AH118" s="33">
        <f>IF(AQ118="0",BJ118,0)</f>
        <v>0</v>
      </c>
      <c r="AI118" s="25" t="s">
        <v>199</v>
      </c>
      <c r="AJ118" s="18">
        <f>IF(AN118=0,J118,0)</f>
        <v>0</v>
      </c>
      <c r="AK118" s="18">
        <f>IF(AN118=15,J118,0)</f>
        <v>0</v>
      </c>
      <c r="AL118" s="18">
        <f>IF(AN118=21,J118,0)</f>
        <v>0</v>
      </c>
      <c r="AN118" s="33">
        <v>21</v>
      </c>
      <c r="AO118" s="33">
        <f>G118*0</f>
        <v>0</v>
      </c>
      <c r="AP118" s="33">
        <f>G118*(1-0)</f>
        <v>0</v>
      </c>
      <c r="AQ118" s="30" t="s">
        <v>6</v>
      </c>
      <c r="AV118" s="33">
        <f>AW118+AX118</f>
        <v>0</v>
      </c>
      <c r="AW118" s="33">
        <f>F118*AO118</f>
        <v>0</v>
      </c>
      <c r="AX118" s="33">
        <f>F118*AP118</f>
        <v>0</v>
      </c>
      <c r="AY118" s="34" t="s">
        <v>571</v>
      </c>
      <c r="AZ118" s="34" t="s">
        <v>591</v>
      </c>
      <c r="BA118" s="25" t="s">
        <v>602</v>
      </c>
      <c r="BC118" s="33">
        <f>AW118+AX118</f>
        <v>0</v>
      </c>
      <c r="BD118" s="33">
        <f>G118/(100-BE118)*100</f>
        <v>0</v>
      </c>
      <c r="BE118" s="33">
        <v>0</v>
      </c>
      <c r="BF118" s="33">
        <f>M118</f>
        <v>0</v>
      </c>
      <c r="BH118" s="18">
        <f>F118*AO118</f>
        <v>0</v>
      </c>
      <c r="BI118" s="18">
        <f>F118*AP118</f>
        <v>0</v>
      </c>
      <c r="BJ118" s="18">
        <f>F118*G118</f>
        <v>0</v>
      </c>
    </row>
    <row r="119" spans="1:47" ht="12.75">
      <c r="A119" s="90"/>
      <c r="B119" s="91" t="s">
        <v>199</v>
      </c>
      <c r="C119" s="91" t="s">
        <v>7</v>
      </c>
      <c r="D119" s="91" t="s">
        <v>352</v>
      </c>
      <c r="E119" s="90" t="s">
        <v>5</v>
      </c>
      <c r="F119" s="90" t="s">
        <v>5</v>
      </c>
      <c r="G119" s="90"/>
      <c r="H119" s="92">
        <f>SUM(H120:H121)</f>
        <v>0</v>
      </c>
      <c r="I119" s="92">
        <f>SUM(I120:I121)</f>
        <v>0</v>
      </c>
      <c r="J119" s="92">
        <f>SUM(J120:J121)</f>
        <v>0</v>
      </c>
      <c r="K119" s="93">
        <f>IF(J250=0,0,J119/J250)</f>
        <v>0</v>
      </c>
      <c r="L119" s="94"/>
      <c r="M119" s="92">
        <f>SUM(M120:M121)</f>
        <v>0.8972809999999999</v>
      </c>
      <c r="N119" s="94"/>
      <c r="AI119" s="25" t="s">
        <v>199</v>
      </c>
      <c r="AS119" s="36">
        <f>SUM(AJ120:AJ121)</f>
        <v>0</v>
      </c>
      <c r="AT119" s="36">
        <f>SUM(AK120:AK121)</f>
        <v>0</v>
      </c>
      <c r="AU119" s="36">
        <f>SUM(AL120:AL121)</f>
        <v>0</v>
      </c>
    </row>
    <row r="120" spans="1:62" ht="12.75">
      <c r="A120" s="86" t="s">
        <v>97</v>
      </c>
      <c r="B120" s="86" t="s">
        <v>199</v>
      </c>
      <c r="C120" s="86" t="s">
        <v>206</v>
      </c>
      <c r="D120" s="86" t="s">
        <v>353</v>
      </c>
      <c r="E120" s="86" t="s">
        <v>528</v>
      </c>
      <c r="F120" s="87">
        <v>1043.35</v>
      </c>
      <c r="G120" s="87"/>
      <c r="H120" s="87">
        <f>F120*AO120</f>
        <v>0</v>
      </c>
      <c r="I120" s="87">
        <f>F120*AP120</f>
        <v>0</v>
      </c>
      <c r="J120" s="87">
        <f>F120*G120</f>
        <v>0</v>
      </c>
      <c r="K120" s="88">
        <f>IF(J250=0,0,J120/J250)</f>
        <v>0</v>
      </c>
      <c r="L120" s="87">
        <v>0.00086</v>
      </c>
      <c r="M120" s="87">
        <f>F120*L120</f>
        <v>0.8972809999999999</v>
      </c>
      <c r="N120" s="89" t="s">
        <v>559</v>
      </c>
      <c r="Z120" s="33">
        <f>IF(AQ120="5",BJ120,0)</f>
        <v>0</v>
      </c>
      <c r="AB120" s="33">
        <f>IF(AQ120="1",BH120,0)</f>
        <v>0</v>
      </c>
      <c r="AC120" s="33">
        <f>IF(AQ120="1",BI120,0)</f>
        <v>0</v>
      </c>
      <c r="AD120" s="33">
        <f>IF(AQ120="7",BH120,0)</f>
        <v>0</v>
      </c>
      <c r="AE120" s="33">
        <f>IF(AQ120="7",BI120,0)</f>
        <v>0</v>
      </c>
      <c r="AF120" s="33">
        <f>IF(AQ120="2",BH120,0)</f>
        <v>0</v>
      </c>
      <c r="AG120" s="33">
        <f>IF(AQ120="2",BI120,0)</f>
        <v>0</v>
      </c>
      <c r="AH120" s="33">
        <f>IF(AQ120="0",BJ120,0)</f>
        <v>0</v>
      </c>
      <c r="AI120" s="25" t="s">
        <v>199</v>
      </c>
      <c r="AJ120" s="18">
        <f>IF(AN120=0,J120,0)</f>
        <v>0</v>
      </c>
      <c r="AK120" s="18">
        <f>IF(AN120=15,J120,0)</f>
        <v>0</v>
      </c>
      <c r="AL120" s="18">
        <f>IF(AN120=21,J120,0)</f>
        <v>0</v>
      </c>
      <c r="AN120" s="33">
        <v>21</v>
      </c>
      <c r="AO120" s="33">
        <f>G120*0.0729659831621526</f>
        <v>0</v>
      </c>
      <c r="AP120" s="33">
        <f>G120*(1-0.0729659831621526)</f>
        <v>0</v>
      </c>
      <c r="AQ120" s="30" t="s">
        <v>6</v>
      </c>
      <c r="AV120" s="33">
        <f>AW120+AX120</f>
        <v>0</v>
      </c>
      <c r="AW120" s="33">
        <f>F120*AO120</f>
        <v>0</v>
      </c>
      <c r="AX120" s="33">
        <f>F120*AP120</f>
        <v>0</v>
      </c>
      <c r="AY120" s="34" t="s">
        <v>572</v>
      </c>
      <c r="AZ120" s="34" t="s">
        <v>592</v>
      </c>
      <c r="BA120" s="25" t="s">
        <v>602</v>
      </c>
      <c r="BC120" s="33">
        <f>AW120+AX120</f>
        <v>0</v>
      </c>
      <c r="BD120" s="33">
        <f>G120/(100-BE120)*100</f>
        <v>0</v>
      </c>
      <c r="BE120" s="33">
        <v>0</v>
      </c>
      <c r="BF120" s="33">
        <f>M120</f>
        <v>0.8972809999999999</v>
      </c>
      <c r="BH120" s="18">
        <f>F120*AO120</f>
        <v>0</v>
      </c>
      <c r="BI120" s="18">
        <f>F120*AP120</f>
        <v>0</v>
      </c>
      <c r="BJ120" s="18">
        <f>F120*G120</f>
        <v>0</v>
      </c>
    </row>
    <row r="121" spans="1:62" ht="12.75">
      <c r="A121" s="86" t="s">
        <v>98</v>
      </c>
      <c r="B121" s="86" t="s">
        <v>199</v>
      </c>
      <c r="C121" s="86" t="s">
        <v>207</v>
      </c>
      <c r="D121" s="86" t="s">
        <v>354</v>
      </c>
      <c r="E121" s="86" t="s">
        <v>528</v>
      </c>
      <c r="F121" s="87">
        <v>1043.35</v>
      </c>
      <c r="G121" s="87"/>
      <c r="H121" s="87">
        <f>F121*AO121</f>
        <v>0</v>
      </c>
      <c r="I121" s="87">
        <f>F121*AP121</f>
        <v>0</v>
      </c>
      <c r="J121" s="87">
        <f>F121*G121</f>
        <v>0</v>
      </c>
      <c r="K121" s="88">
        <f>IF(J250=0,0,J121/J250)</f>
        <v>0</v>
      </c>
      <c r="L121" s="87">
        <v>0</v>
      </c>
      <c r="M121" s="87">
        <f>F121*L121</f>
        <v>0</v>
      </c>
      <c r="N121" s="89" t="s">
        <v>559</v>
      </c>
      <c r="Z121" s="33">
        <f>IF(AQ121="5",BJ121,0)</f>
        <v>0</v>
      </c>
      <c r="AB121" s="33">
        <f>IF(AQ121="1",BH121,0)</f>
        <v>0</v>
      </c>
      <c r="AC121" s="33">
        <f>IF(AQ121="1",BI121,0)</f>
        <v>0</v>
      </c>
      <c r="AD121" s="33">
        <f>IF(AQ121="7",BH121,0)</f>
        <v>0</v>
      </c>
      <c r="AE121" s="33">
        <f>IF(AQ121="7",BI121,0)</f>
        <v>0</v>
      </c>
      <c r="AF121" s="33">
        <f>IF(AQ121="2",BH121,0)</f>
        <v>0</v>
      </c>
      <c r="AG121" s="33">
        <f>IF(AQ121="2",BI121,0)</f>
        <v>0</v>
      </c>
      <c r="AH121" s="33">
        <f>IF(AQ121="0",BJ121,0)</f>
        <v>0</v>
      </c>
      <c r="AI121" s="25" t="s">
        <v>199</v>
      </c>
      <c r="AJ121" s="18">
        <f>IF(AN121=0,J121,0)</f>
        <v>0</v>
      </c>
      <c r="AK121" s="18">
        <f>IF(AN121=15,J121,0)</f>
        <v>0</v>
      </c>
      <c r="AL121" s="18">
        <f>IF(AN121=21,J121,0)</f>
        <v>0</v>
      </c>
      <c r="AN121" s="33">
        <v>21</v>
      </c>
      <c r="AO121" s="33">
        <f>G121*0</f>
        <v>0</v>
      </c>
      <c r="AP121" s="33">
        <f>G121*(1-0)</f>
        <v>0</v>
      </c>
      <c r="AQ121" s="30" t="s">
        <v>6</v>
      </c>
      <c r="AV121" s="33">
        <f>AW121+AX121</f>
        <v>0</v>
      </c>
      <c r="AW121" s="33">
        <f>F121*AO121</f>
        <v>0</v>
      </c>
      <c r="AX121" s="33">
        <f>F121*AP121</f>
        <v>0</v>
      </c>
      <c r="AY121" s="34" t="s">
        <v>572</v>
      </c>
      <c r="AZ121" s="34" t="s">
        <v>592</v>
      </c>
      <c r="BA121" s="25" t="s">
        <v>602</v>
      </c>
      <c r="BC121" s="33">
        <f>AW121+AX121</f>
        <v>0</v>
      </c>
      <c r="BD121" s="33">
        <f>G121/(100-BE121)*100</f>
        <v>0</v>
      </c>
      <c r="BE121" s="33">
        <v>0</v>
      </c>
      <c r="BF121" s="33">
        <f>M121</f>
        <v>0</v>
      </c>
      <c r="BH121" s="18">
        <f>F121*AO121</f>
        <v>0</v>
      </c>
      <c r="BI121" s="18">
        <f>F121*AP121</f>
        <v>0</v>
      </c>
      <c r="BJ121" s="18">
        <f>F121*G121</f>
        <v>0</v>
      </c>
    </row>
    <row r="122" spans="1:47" ht="12.75">
      <c r="A122" s="90"/>
      <c r="B122" s="91" t="s">
        <v>199</v>
      </c>
      <c r="C122" s="91" t="s">
        <v>92</v>
      </c>
      <c r="D122" s="91" t="s">
        <v>355</v>
      </c>
      <c r="E122" s="90" t="s">
        <v>5</v>
      </c>
      <c r="F122" s="90" t="s">
        <v>5</v>
      </c>
      <c r="G122" s="90"/>
      <c r="H122" s="92">
        <f>SUM(H123:H153)</f>
        <v>0</v>
      </c>
      <c r="I122" s="92">
        <f>SUM(I123:I153)</f>
        <v>0</v>
      </c>
      <c r="J122" s="92">
        <f>SUM(J123:J153)</f>
        <v>0</v>
      </c>
      <c r="K122" s="93">
        <f>IF(J250=0,0,J122/J250)</f>
        <v>0</v>
      </c>
      <c r="L122" s="94"/>
      <c r="M122" s="92">
        <f>SUM(M123:M153)</f>
        <v>1418.3184485000002</v>
      </c>
      <c r="N122" s="94"/>
      <c r="AI122" s="25" t="s">
        <v>199</v>
      </c>
      <c r="AS122" s="36">
        <f>SUM(AJ123:AJ153)</f>
        <v>0</v>
      </c>
      <c r="AT122" s="36">
        <f>SUM(AK123:AK153)</f>
        <v>0</v>
      </c>
      <c r="AU122" s="36">
        <f>SUM(AL123:AL153)</f>
        <v>0</v>
      </c>
    </row>
    <row r="123" spans="1:62" ht="12.75">
      <c r="A123" s="86" t="s">
        <v>99</v>
      </c>
      <c r="B123" s="86" t="s">
        <v>199</v>
      </c>
      <c r="C123" s="86" t="s">
        <v>208</v>
      </c>
      <c r="D123" s="86" t="s">
        <v>356</v>
      </c>
      <c r="E123" s="86" t="s">
        <v>528</v>
      </c>
      <c r="F123" s="87">
        <v>1025</v>
      </c>
      <c r="G123" s="87"/>
      <c r="H123" s="87">
        <f aca="true" t="shared" si="126" ref="H123:H138">F123*AO123</f>
        <v>0</v>
      </c>
      <c r="I123" s="87">
        <f aca="true" t="shared" si="127" ref="I123:I138">F123*AP123</f>
        <v>0</v>
      </c>
      <c r="J123" s="87">
        <f aca="true" t="shared" si="128" ref="J123:J138">F123*G123</f>
        <v>0</v>
      </c>
      <c r="K123" s="88">
        <f>IF(J250=0,0,J123/J250)</f>
        <v>0</v>
      </c>
      <c r="L123" s="87">
        <v>0.22</v>
      </c>
      <c r="M123" s="87">
        <f aca="true" t="shared" si="129" ref="M123:M138">F123*L123</f>
        <v>225.5</v>
      </c>
      <c r="N123" s="89" t="s">
        <v>559</v>
      </c>
      <c r="Z123" s="33">
        <f aca="true" t="shared" si="130" ref="Z123:Z138">IF(AQ123="5",BJ123,0)</f>
        <v>0</v>
      </c>
      <c r="AB123" s="33">
        <f aca="true" t="shared" si="131" ref="AB123:AB138">IF(AQ123="1",BH123,0)</f>
        <v>0</v>
      </c>
      <c r="AC123" s="33">
        <f aca="true" t="shared" si="132" ref="AC123:AC138">IF(AQ123="1",BI123,0)</f>
        <v>0</v>
      </c>
      <c r="AD123" s="33">
        <f aca="true" t="shared" si="133" ref="AD123:AD138">IF(AQ123="7",BH123,0)</f>
        <v>0</v>
      </c>
      <c r="AE123" s="33">
        <f aca="true" t="shared" si="134" ref="AE123:AE138">IF(AQ123="7",BI123,0)</f>
        <v>0</v>
      </c>
      <c r="AF123" s="33">
        <f aca="true" t="shared" si="135" ref="AF123:AF138">IF(AQ123="2",BH123,0)</f>
        <v>0</v>
      </c>
      <c r="AG123" s="33">
        <f aca="true" t="shared" si="136" ref="AG123:AG138">IF(AQ123="2",BI123,0)</f>
        <v>0</v>
      </c>
      <c r="AH123" s="33">
        <f aca="true" t="shared" si="137" ref="AH123:AH138">IF(AQ123="0",BJ123,0)</f>
        <v>0</v>
      </c>
      <c r="AI123" s="25" t="s">
        <v>199</v>
      </c>
      <c r="AJ123" s="18">
        <f aca="true" t="shared" si="138" ref="AJ123:AJ138">IF(AN123=0,J123,0)</f>
        <v>0</v>
      </c>
      <c r="AK123" s="18">
        <f aca="true" t="shared" si="139" ref="AK123:AK138">IF(AN123=15,J123,0)</f>
        <v>0</v>
      </c>
      <c r="AL123" s="18">
        <f aca="true" t="shared" si="140" ref="AL123:AL138">IF(AN123=21,J123,0)</f>
        <v>0</v>
      </c>
      <c r="AN123" s="33">
        <v>21</v>
      </c>
      <c r="AO123" s="33">
        <f aca="true" t="shared" si="141" ref="AO123:AO131">G123*0</f>
        <v>0</v>
      </c>
      <c r="AP123" s="33">
        <f aca="true" t="shared" si="142" ref="AP123:AP131">G123*(1-0)</f>
        <v>0</v>
      </c>
      <c r="AQ123" s="30" t="s">
        <v>6</v>
      </c>
      <c r="AV123" s="33">
        <f aca="true" t="shared" si="143" ref="AV123:AV138">AW123+AX123</f>
        <v>0</v>
      </c>
      <c r="AW123" s="33">
        <f aca="true" t="shared" si="144" ref="AW123:AW138">F123*AO123</f>
        <v>0</v>
      </c>
      <c r="AX123" s="33">
        <f aca="true" t="shared" si="145" ref="AX123:AX138">F123*AP123</f>
        <v>0</v>
      </c>
      <c r="AY123" s="34" t="s">
        <v>573</v>
      </c>
      <c r="AZ123" s="34" t="s">
        <v>593</v>
      </c>
      <c r="BA123" s="25" t="s">
        <v>602</v>
      </c>
      <c r="BC123" s="33">
        <f aca="true" t="shared" si="146" ref="BC123:BC138">AW123+AX123</f>
        <v>0</v>
      </c>
      <c r="BD123" s="33">
        <f aca="true" t="shared" si="147" ref="BD123:BD138">G123/(100-BE123)*100</f>
        <v>0</v>
      </c>
      <c r="BE123" s="33">
        <v>0</v>
      </c>
      <c r="BF123" s="33">
        <f aca="true" t="shared" si="148" ref="BF123:BF138">M123</f>
        <v>225.5</v>
      </c>
      <c r="BH123" s="18">
        <f aca="true" t="shared" si="149" ref="BH123:BH138">F123*AO123</f>
        <v>0</v>
      </c>
      <c r="BI123" s="18">
        <f aca="true" t="shared" si="150" ref="BI123:BI138">F123*AP123</f>
        <v>0</v>
      </c>
      <c r="BJ123" s="18">
        <f aca="true" t="shared" si="151" ref="BJ123:BJ138">F123*G123</f>
        <v>0</v>
      </c>
    </row>
    <row r="124" spans="1:62" ht="12.75">
      <c r="A124" s="86" t="s">
        <v>100</v>
      </c>
      <c r="B124" s="86" t="s">
        <v>199</v>
      </c>
      <c r="C124" s="86" t="s">
        <v>209</v>
      </c>
      <c r="D124" s="86" t="s">
        <v>357</v>
      </c>
      <c r="E124" s="86" t="s">
        <v>528</v>
      </c>
      <c r="F124" s="87">
        <v>1575</v>
      </c>
      <c r="G124" s="87"/>
      <c r="H124" s="87">
        <f t="shared" si="126"/>
        <v>0</v>
      </c>
      <c r="I124" s="87">
        <f t="shared" si="127"/>
        <v>0</v>
      </c>
      <c r="J124" s="87">
        <f t="shared" si="128"/>
        <v>0</v>
      </c>
      <c r="K124" s="88">
        <f>IF(J250=0,0,J124/J250)</f>
        <v>0</v>
      </c>
      <c r="L124" s="87">
        <v>0.66</v>
      </c>
      <c r="M124" s="87">
        <f t="shared" si="129"/>
        <v>1039.5</v>
      </c>
      <c r="N124" s="89" t="s">
        <v>559</v>
      </c>
      <c r="Z124" s="33">
        <f t="shared" si="130"/>
        <v>0</v>
      </c>
      <c r="AB124" s="33">
        <f t="shared" si="131"/>
        <v>0</v>
      </c>
      <c r="AC124" s="33">
        <f t="shared" si="132"/>
        <v>0</v>
      </c>
      <c r="AD124" s="33">
        <f t="shared" si="133"/>
        <v>0</v>
      </c>
      <c r="AE124" s="33">
        <f t="shared" si="134"/>
        <v>0</v>
      </c>
      <c r="AF124" s="33">
        <f t="shared" si="135"/>
        <v>0</v>
      </c>
      <c r="AG124" s="33">
        <f t="shared" si="136"/>
        <v>0</v>
      </c>
      <c r="AH124" s="33">
        <f t="shared" si="137"/>
        <v>0</v>
      </c>
      <c r="AI124" s="25" t="s">
        <v>199</v>
      </c>
      <c r="AJ124" s="18">
        <f t="shared" si="138"/>
        <v>0</v>
      </c>
      <c r="AK124" s="18">
        <f t="shared" si="139"/>
        <v>0</v>
      </c>
      <c r="AL124" s="18">
        <f t="shared" si="140"/>
        <v>0</v>
      </c>
      <c r="AN124" s="33">
        <v>21</v>
      </c>
      <c r="AO124" s="33">
        <f t="shared" si="141"/>
        <v>0</v>
      </c>
      <c r="AP124" s="33">
        <f t="shared" si="142"/>
        <v>0</v>
      </c>
      <c r="AQ124" s="30" t="s">
        <v>6</v>
      </c>
      <c r="AV124" s="33">
        <f t="shared" si="143"/>
        <v>0</v>
      </c>
      <c r="AW124" s="33">
        <f t="shared" si="144"/>
        <v>0</v>
      </c>
      <c r="AX124" s="33">
        <f t="shared" si="145"/>
        <v>0</v>
      </c>
      <c r="AY124" s="34" t="s">
        <v>573</v>
      </c>
      <c r="AZ124" s="34" t="s">
        <v>593</v>
      </c>
      <c r="BA124" s="25" t="s">
        <v>602</v>
      </c>
      <c r="BC124" s="33">
        <f t="shared" si="146"/>
        <v>0</v>
      </c>
      <c r="BD124" s="33">
        <f t="shared" si="147"/>
        <v>0</v>
      </c>
      <c r="BE124" s="33">
        <v>0</v>
      </c>
      <c r="BF124" s="33">
        <f t="shared" si="148"/>
        <v>1039.5</v>
      </c>
      <c r="BH124" s="18">
        <f t="shared" si="149"/>
        <v>0</v>
      </c>
      <c r="BI124" s="18">
        <f t="shared" si="150"/>
        <v>0</v>
      </c>
      <c r="BJ124" s="18">
        <f t="shared" si="151"/>
        <v>0</v>
      </c>
    </row>
    <row r="125" spans="1:62" ht="12.75">
      <c r="A125" s="86" t="s">
        <v>101</v>
      </c>
      <c r="B125" s="86" t="s">
        <v>199</v>
      </c>
      <c r="C125" s="86" t="s">
        <v>210</v>
      </c>
      <c r="D125" s="86" t="s">
        <v>358</v>
      </c>
      <c r="E125" s="86" t="s">
        <v>528</v>
      </c>
      <c r="F125" s="87">
        <v>550</v>
      </c>
      <c r="G125" s="87"/>
      <c r="H125" s="87">
        <f t="shared" si="126"/>
        <v>0</v>
      </c>
      <c r="I125" s="87">
        <f t="shared" si="127"/>
        <v>0</v>
      </c>
      <c r="J125" s="87">
        <f t="shared" si="128"/>
        <v>0</v>
      </c>
      <c r="K125" s="88">
        <f>IF(J250=0,0,J125/J250)</f>
        <v>0</v>
      </c>
      <c r="L125" s="87">
        <v>0.138</v>
      </c>
      <c r="M125" s="87">
        <f t="shared" si="129"/>
        <v>75.9</v>
      </c>
      <c r="N125" s="89" t="s">
        <v>559</v>
      </c>
      <c r="Z125" s="33">
        <f t="shared" si="130"/>
        <v>0</v>
      </c>
      <c r="AB125" s="33">
        <f t="shared" si="131"/>
        <v>0</v>
      </c>
      <c r="AC125" s="33">
        <f t="shared" si="132"/>
        <v>0</v>
      </c>
      <c r="AD125" s="33">
        <f t="shared" si="133"/>
        <v>0</v>
      </c>
      <c r="AE125" s="33">
        <f t="shared" si="134"/>
        <v>0</v>
      </c>
      <c r="AF125" s="33">
        <f t="shared" si="135"/>
        <v>0</v>
      </c>
      <c r="AG125" s="33">
        <f t="shared" si="136"/>
        <v>0</v>
      </c>
      <c r="AH125" s="33">
        <f t="shared" si="137"/>
        <v>0</v>
      </c>
      <c r="AI125" s="25" t="s">
        <v>199</v>
      </c>
      <c r="AJ125" s="18">
        <f t="shared" si="138"/>
        <v>0</v>
      </c>
      <c r="AK125" s="18">
        <f t="shared" si="139"/>
        <v>0</v>
      </c>
      <c r="AL125" s="18">
        <f t="shared" si="140"/>
        <v>0</v>
      </c>
      <c r="AN125" s="33">
        <v>21</v>
      </c>
      <c r="AO125" s="33">
        <f t="shared" si="141"/>
        <v>0</v>
      </c>
      <c r="AP125" s="33">
        <f t="shared" si="142"/>
        <v>0</v>
      </c>
      <c r="AQ125" s="30" t="s">
        <v>6</v>
      </c>
      <c r="AV125" s="33">
        <f t="shared" si="143"/>
        <v>0</v>
      </c>
      <c r="AW125" s="33">
        <f t="shared" si="144"/>
        <v>0</v>
      </c>
      <c r="AX125" s="33">
        <f t="shared" si="145"/>
        <v>0</v>
      </c>
      <c r="AY125" s="34" t="s">
        <v>573</v>
      </c>
      <c r="AZ125" s="34" t="s">
        <v>593</v>
      </c>
      <c r="BA125" s="25" t="s">
        <v>602</v>
      </c>
      <c r="BC125" s="33">
        <f t="shared" si="146"/>
        <v>0</v>
      </c>
      <c r="BD125" s="33">
        <f t="shared" si="147"/>
        <v>0</v>
      </c>
      <c r="BE125" s="33">
        <v>0</v>
      </c>
      <c r="BF125" s="33">
        <f t="shared" si="148"/>
        <v>75.9</v>
      </c>
      <c r="BH125" s="18">
        <f t="shared" si="149"/>
        <v>0</v>
      </c>
      <c r="BI125" s="18">
        <f t="shared" si="150"/>
        <v>0</v>
      </c>
      <c r="BJ125" s="18">
        <f t="shared" si="151"/>
        <v>0</v>
      </c>
    </row>
    <row r="126" spans="1:62" ht="12.75">
      <c r="A126" s="86" t="s">
        <v>102</v>
      </c>
      <c r="B126" s="86" t="s">
        <v>199</v>
      </c>
      <c r="C126" s="86" t="s">
        <v>211</v>
      </c>
      <c r="D126" s="86" t="s">
        <v>359</v>
      </c>
      <c r="E126" s="86" t="s">
        <v>526</v>
      </c>
      <c r="F126" s="87">
        <v>274.5</v>
      </c>
      <c r="G126" s="87"/>
      <c r="H126" s="87">
        <f t="shared" si="126"/>
        <v>0</v>
      </c>
      <c r="I126" s="87">
        <f t="shared" si="127"/>
        <v>0</v>
      </c>
      <c r="J126" s="87">
        <f t="shared" si="128"/>
        <v>0</v>
      </c>
      <c r="K126" s="88">
        <f>IF(J250=0,0,J126/J250)</f>
        <v>0</v>
      </c>
      <c r="L126" s="87">
        <v>0.27</v>
      </c>
      <c r="M126" s="87">
        <f t="shared" si="129"/>
        <v>74.11500000000001</v>
      </c>
      <c r="N126" s="89" t="s">
        <v>559</v>
      </c>
      <c r="Z126" s="33">
        <f t="shared" si="130"/>
        <v>0</v>
      </c>
      <c r="AB126" s="33">
        <f t="shared" si="131"/>
        <v>0</v>
      </c>
      <c r="AC126" s="33">
        <f t="shared" si="132"/>
        <v>0</v>
      </c>
      <c r="AD126" s="33">
        <f t="shared" si="133"/>
        <v>0</v>
      </c>
      <c r="AE126" s="33">
        <f t="shared" si="134"/>
        <v>0</v>
      </c>
      <c r="AF126" s="33">
        <f t="shared" si="135"/>
        <v>0</v>
      </c>
      <c r="AG126" s="33">
        <f t="shared" si="136"/>
        <v>0</v>
      </c>
      <c r="AH126" s="33">
        <f t="shared" si="137"/>
        <v>0</v>
      </c>
      <c r="AI126" s="25" t="s">
        <v>199</v>
      </c>
      <c r="AJ126" s="18">
        <f t="shared" si="138"/>
        <v>0</v>
      </c>
      <c r="AK126" s="18">
        <f t="shared" si="139"/>
        <v>0</v>
      </c>
      <c r="AL126" s="18">
        <f t="shared" si="140"/>
        <v>0</v>
      </c>
      <c r="AN126" s="33">
        <v>21</v>
      </c>
      <c r="AO126" s="33">
        <f t="shared" si="141"/>
        <v>0</v>
      </c>
      <c r="AP126" s="33">
        <f t="shared" si="142"/>
        <v>0</v>
      </c>
      <c r="AQ126" s="30" t="s">
        <v>6</v>
      </c>
      <c r="AV126" s="33">
        <f t="shared" si="143"/>
        <v>0</v>
      </c>
      <c r="AW126" s="33">
        <f t="shared" si="144"/>
        <v>0</v>
      </c>
      <c r="AX126" s="33">
        <f t="shared" si="145"/>
        <v>0</v>
      </c>
      <c r="AY126" s="34" t="s">
        <v>573</v>
      </c>
      <c r="AZ126" s="34" t="s">
        <v>593</v>
      </c>
      <c r="BA126" s="25" t="s">
        <v>602</v>
      </c>
      <c r="BC126" s="33">
        <f t="shared" si="146"/>
        <v>0</v>
      </c>
      <c r="BD126" s="33">
        <f t="shared" si="147"/>
        <v>0</v>
      </c>
      <c r="BE126" s="33">
        <v>0</v>
      </c>
      <c r="BF126" s="33">
        <f t="shared" si="148"/>
        <v>74.11500000000001</v>
      </c>
      <c r="BH126" s="18">
        <f t="shared" si="149"/>
        <v>0</v>
      </c>
      <c r="BI126" s="18">
        <f t="shared" si="150"/>
        <v>0</v>
      </c>
      <c r="BJ126" s="18">
        <f t="shared" si="151"/>
        <v>0</v>
      </c>
    </row>
    <row r="127" spans="1:62" ht="12.75">
      <c r="A127" s="86" t="s">
        <v>103</v>
      </c>
      <c r="B127" s="86" t="s">
        <v>199</v>
      </c>
      <c r="C127" s="86" t="s">
        <v>212</v>
      </c>
      <c r="D127" s="86" t="s">
        <v>360</v>
      </c>
      <c r="E127" s="86" t="s">
        <v>529</v>
      </c>
      <c r="F127" s="87">
        <v>1415.02</v>
      </c>
      <c r="G127" s="87"/>
      <c r="H127" s="87">
        <f t="shared" si="126"/>
        <v>0</v>
      </c>
      <c r="I127" s="87">
        <f t="shared" si="127"/>
        <v>0</v>
      </c>
      <c r="J127" s="87">
        <f t="shared" si="128"/>
        <v>0</v>
      </c>
      <c r="K127" s="88">
        <f>IF(J250=0,0,J127/J250)</f>
        <v>0</v>
      </c>
      <c r="L127" s="87">
        <v>0</v>
      </c>
      <c r="M127" s="87">
        <f t="shared" si="129"/>
        <v>0</v>
      </c>
      <c r="N127" s="89" t="s">
        <v>559</v>
      </c>
      <c r="Z127" s="33">
        <f t="shared" si="130"/>
        <v>0</v>
      </c>
      <c r="AB127" s="33">
        <f t="shared" si="131"/>
        <v>0</v>
      </c>
      <c r="AC127" s="33">
        <f t="shared" si="132"/>
        <v>0</v>
      </c>
      <c r="AD127" s="33">
        <f t="shared" si="133"/>
        <v>0</v>
      </c>
      <c r="AE127" s="33">
        <f t="shared" si="134"/>
        <v>0</v>
      </c>
      <c r="AF127" s="33">
        <f t="shared" si="135"/>
        <v>0</v>
      </c>
      <c r="AG127" s="33">
        <f t="shared" si="136"/>
        <v>0</v>
      </c>
      <c r="AH127" s="33">
        <f t="shared" si="137"/>
        <v>0</v>
      </c>
      <c r="AI127" s="25" t="s">
        <v>199</v>
      </c>
      <c r="AJ127" s="18">
        <f t="shared" si="138"/>
        <v>0</v>
      </c>
      <c r="AK127" s="18">
        <f t="shared" si="139"/>
        <v>0</v>
      </c>
      <c r="AL127" s="18">
        <f t="shared" si="140"/>
        <v>0</v>
      </c>
      <c r="AN127" s="33">
        <v>21</v>
      </c>
      <c r="AO127" s="33">
        <f t="shared" si="141"/>
        <v>0</v>
      </c>
      <c r="AP127" s="33">
        <f t="shared" si="142"/>
        <v>0</v>
      </c>
      <c r="AQ127" s="30" t="s">
        <v>10</v>
      </c>
      <c r="AV127" s="33">
        <f t="shared" si="143"/>
        <v>0</v>
      </c>
      <c r="AW127" s="33">
        <f t="shared" si="144"/>
        <v>0</v>
      </c>
      <c r="AX127" s="33">
        <f t="shared" si="145"/>
        <v>0</v>
      </c>
      <c r="AY127" s="34" t="s">
        <v>573</v>
      </c>
      <c r="AZ127" s="34" t="s">
        <v>593</v>
      </c>
      <c r="BA127" s="25" t="s">
        <v>602</v>
      </c>
      <c r="BC127" s="33">
        <f t="shared" si="146"/>
        <v>0</v>
      </c>
      <c r="BD127" s="33">
        <f t="shared" si="147"/>
        <v>0</v>
      </c>
      <c r="BE127" s="33">
        <v>0</v>
      </c>
      <c r="BF127" s="33">
        <f t="shared" si="148"/>
        <v>0</v>
      </c>
      <c r="BH127" s="18">
        <f t="shared" si="149"/>
        <v>0</v>
      </c>
      <c r="BI127" s="18">
        <f t="shared" si="150"/>
        <v>0</v>
      </c>
      <c r="BJ127" s="18">
        <f t="shared" si="151"/>
        <v>0</v>
      </c>
    </row>
    <row r="128" spans="1:62" ht="12.75">
      <c r="A128" s="86" t="s">
        <v>104</v>
      </c>
      <c r="B128" s="86" t="s">
        <v>199</v>
      </c>
      <c r="C128" s="86" t="s">
        <v>213</v>
      </c>
      <c r="D128" s="86" t="s">
        <v>361</v>
      </c>
      <c r="E128" s="86" t="s">
        <v>529</v>
      </c>
      <c r="F128" s="87">
        <v>1415.02</v>
      </c>
      <c r="G128" s="87"/>
      <c r="H128" s="87">
        <f t="shared" si="126"/>
        <v>0</v>
      </c>
      <c r="I128" s="87">
        <f t="shared" si="127"/>
        <v>0</v>
      </c>
      <c r="J128" s="87">
        <f t="shared" si="128"/>
        <v>0</v>
      </c>
      <c r="K128" s="88">
        <f>IF(J250=0,0,J128/J250)</f>
        <v>0</v>
      </c>
      <c r="L128" s="87">
        <v>0</v>
      </c>
      <c r="M128" s="87">
        <f t="shared" si="129"/>
        <v>0</v>
      </c>
      <c r="N128" s="89" t="s">
        <v>559</v>
      </c>
      <c r="Z128" s="33">
        <f t="shared" si="130"/>
        <v>0</v>
      </c>
      <c r="AB128" s="33">
        <f t="shared" si="131"/>
        <v>0</v>
      </c>
      <c r="AC128" s="33">
        <f t="shared" si="132"/>
        <v>0</v>
      </c>
      <c r="AD128" s="33">
        <f t="shared" si="133"/>
        <v>0</v>
      </c>
      <c r="AE128" s="33">
        <f t="shared" si="134"/>
        <v>0</v>
      </c>
      <c r="AF128" s="33">
        <f t="shared" si="135"/>
        <v>0</v>
      </c>
      <c r="AG128" s="33">
        <f t="shared" si="136"/>
        <v>0</v>
      </c>
      <c r="AH128" s="33">
        <f t="shared" si="137"/>
        <v>0</v>
      </c>
      <c r="AI128" s="25" t="s">
        <v>199</v>
      </c>
      <c r="AJ128" s="18">
        <f t="shared" si="138"/>
        <v>0</v>
      </c>
      <c r="AK128" s="18">
        <f t="shared" si="139"/>
        <v>0</v>
      </c>
      <c r="AL128" s="18">
        <f t="shared" si="140"/>
        <v>0</v>
      </c>
      <c r="AN128" s="33">
        <v>21</v>
      </c>
      <c r="AO128" s="33">
        <f t="shared" si="141"/>
        <v>0</v>
      </c>
      <c r="AP128" s="33">
        <f t="shared" si="142"/>
        <v>0</v>
      </c>
      <c r="AQ128" s="30" t="s">
        <v>10</v>
      </c>
      <c r="AV128" s="33">
        <f t="shared" si="143"/>
        <v>0</v>
      </c>
      <c r="AW128" s="33">
        <f t="shared" si="144"/>
        <v>0</v>
      </c>
      <c r="AX128" s="33">
        <f t="shared" si="145"/>
        <v>0</v>
      </c>
      <c r="AY128" s="34" t="s">
        <v>573</v>
      </c>
      <c r="AZ128" s="34" t="s">
        <v>593</v>
      </c>
      <c r="BA128" s="25" t="s">
        <v>602</v>
      </c>
      <c r="BC128" s="33">
        <f t="shared" si="146"/>
        <v>0</v>
      </c>
      <c r="BD128" s="33">
        <f t="shared" si="147"/>
        <v>0</v>
      </c>
      <c r="BE128" s="33">
        <v>0</v>
      </c>
      <c r="BF128" s="33">
        <f t="shared" si="148"/>
        <v>0</v>
      </c>
      <c r="BH128" s="18">
        <f t="shared" si="149"/>
        <v>0</v>
      </c>
      <c r="BI128" s="18">
        <f t="shared" si="150"/>
        <v>0</v>
      </c>
      <c r="BJ128" s="18">
        <f t="shared" si="151"/>
        <v>0</v>
      </c>
    </row>
    <row r="129" spans="1:62" ht="12.75">
      <c r="A129" s="86" t="s">
        <v>105</v>
      </c>
      <c r="B129" s="86" t="s">
        <v>199</v>
      </c>
      <c r="C129" s="86" t="s">
        <v>214</v>
      </c>
      <c r="D129" s="86" t="s">
        <v>362</v>
      </c>
      <c r="E129" s="86" t="s">
        <v>530</v>
      </c>
      <c r="F129" s="87">
        <v>630</v>
      </c>
      <c r="G129" s="87"/>
      <c r="H129" s="87">
        <f t="shared" si="126"/>
        <v>0</v>
      </c>
      <c r="I129" s="87">
        <f t="shared" si="127"/>
        <v>0</v>
      </c>
      <c r="J129" s="87">
        <f t="shared" si="128"/>
        <v>0</v>
      </c>
      <c r="K129" s="88">
        <f>IF(J250=0,0,J129/J250)</f>
        <v>0</v>
      </c>
      <c r="L129" s="87">
        <v>0</v>
      </c>
      <c r="M129" s="87">
        <f t="shared" si="129"/>
        <v>0</v>
      </c>
      <c r="N129" s="89" t="s">
        <v>559</v>
      </c>
      <c r="Z129" s="33">
        <f t="shared" si="130"/>
        <v>0</v>
      </c>
      <c r="AB129" s="33">
        <f t="shared" si="131"/>
        <v>0</v>
      </c>
      <c r="AC129" s="33">
        <f t="shared" si="132"/>
        <v>0</v>
      </c>
      <c r="AD129" s="33">
        <f t="shared" si="133"/>
        <v>0</v>
      </c>
      <c r="AE129" s="33">
        <f t="shared" si="134"/>
        <v>0</v>
      </c>
      <c r="AF129" s="33">
        <f t="shared" si="135"/>
        <v>0</v>
      </c>
      <c r="AG129" s="33">
        <f t="shared" si="136"/>
        <v>0</v>
      </c>
      <c r="AH129" s="33">
        <f t="shared" si="137"/>
        <v>0</v>
      </c>
      <c r="AI129" s="25" t="s">
        <v>199</v>
      </c>
      <c r="AJ129" s="18">
        <f t="shared" si="138"/>
        <v>0</v>
      </c>
      <c r="AK129" s="18">
        <f t="shared" si="139"/>
        <v>0</v>
      </c>
      <c r="AL129" s="18">
        <f t="shared" si="140"/>
        <v>0</v>
      </c>
      <c r="AN129" s="33">
        <v>21</v>
      </c>
      <c r="AO129" s="33">
        <f t="shared" si="141"/>
        <v>0</v>
      </c>
      <c r="AP129" s="33">
        <f t="shared" si="142"/>
        <v>0</v>
      </c>
      <c r="AQ129" s="30" t="s">
        <v>6</v>
      </c>
      <c r="AV129" s="33">
        <f t="shared" si="143"/>
        <v>0</v>
      </c>
      <c r="AW129" s="33">
        <f t="shared" si="144"/>
        <v>0</v>
      </c>
      <c r="AX129" s="33">
        <f t="shared" si="145"/>
        <v>0</v>
      </c>
      <c r="AY129" s="34" t="s">
        <v>573</v>
      </c>
      <c r="AZ129" s="34" t="s">
        <v>593</v>
      </c>
      <c r="BA129" s="25" t="s">
        <v>602</v>
      </c>
      <c r="BC129" s="33">
        <f t="shared" si="146"/>
        <v>0</v>
      </c>
      <c r="BD129" s="33">
        <f t="shared" si="147"/>
        <v>0</v>
      </c>
      <c r="BE129" s="33">
        <v>0</v>
      </c>
      <c r="BF129" s="33">
        <f t="shared" si="148"/>
        <v>0</v>
      </c>
      <c r="BH129" s="18">
        <f t="shared" si="149"/>
        <v>0</v>
      </c>
      <c r="BI129" s="18">
        <f t="shared" si="150"/>
        <v>0</v>
      </c>
      <c r="BJ129" s="18">
        <f t="shared" si="151"/>
        <v>0</v>
      </c>
    </row>
    <row r="130" spans="1:62" ht="12.75">
      <c r="A130" s="86" t="s">
        <v>106</v>
      </c>
      <c r="B130" s="86" t="s">
        <v>199</v>
      </c>
      <c r="C130" s="86" t="s">
        <v>215</v>
      </c>
      <c r="D130" s="86" t="s">
        <v>363</v>
      </c>
      <c r="E130" s="86" t="s">
        <v>530</v>
      </c>
      <c r="F130" s="87">
        <v>509.74</v>
      </c>
      <c r="G130" s="87"/>
      <c r="H130" s="87">
        <f t="shared" si="126"/>
        <v>0</v>
      </c>
      <c r="I130" s="87">
        <f t="shared" si="127"/>
        <v>0</v>
      </c>
      <c r="J130" s="87">
        <f t="shared" si="128"/>
        <v>0</v>
      </c>
      <c r="K130" s="88">
        <f>IF(J250=0,0,J130/J250)</f>
        <v>0</v>
      </c>
      <c r="L130" s="87">
        <v>0</v>
      </c>
      <c r="M130" s="87">
        <f t="shared" si="129"/>
        <v>0</v>
      </c>
      <c r="N130" s="89" t="s">
        <v>559</v>
      </c>
      <c r="Z130" s="33">
        <f t="shared" si="130"/>
        <v>0</v>
      </c>
      <c r="AB130" s="33">
        <f t="shared" si="131"/>
        <v>0</v>
      </c>
      <c r="AC130" s="33">
        <f t="shared" si="132"/>
        <v>0</v>
      </c>
      <c r="AD130" s="33">
        <f t="shared" si="133"/>
        <v>0</v>
      </c>
      <c r="AE130" s="33">
        <f t="shared" si="134"/>
        <v>0</v>
      </c>
      <c r="AF130" s="33">
        <f t="shared" si="135"/>
        <v>0</v>
      </c>
      <c r="AG130" s="33">
        <f t="shared" si="136"/>
        <v>0</v>
      </c>
      <c r="AH130" s="33">
        <f t="shared" si="137"/>
        <v>0</v>
      </c>
      <c r="AI130" s="25" t="s">
        <v>199</v>
      </c>
      <c r="AJ130" s="18">
        <f t="shared" si="138"/>
        <v>0</v>
      </c>
      <c r="AK130" s="18">
        <f t="shared" si="139"/>
        <v>0</v>
      </c>
      <c r="AL130" s="18">
        <f t="shared" si="140"/>
        <v>0</v>
      </c>
      <c r="AN130" s="33">
        <v>21</v>
      </c>
      <c r="AO130" s="33">
        <f t="shared" si="141"/>
        <v>0</v>
      </c>
      <c r="AP130" s="33">
        <f t="shared" si="142"/>
        <v>0</v>
      </c>
      <c r="AQ130" s="30" t="s">
        <v>6</v>
      </c>
      <c r="AV130" s="33">
        <f t="shared" si="143"/>
        <v>0</v>
      </c>
      <c r="AW130" s="33">
        <f t="shared" si="144"/>
        <v>0</v>
      </c>
      <c r="AX130" s="33">
        <f t="shared" si="145"/>
        <v>0</v>
      </c>
      <c r="AY130" s="34" t="s">
        <v>573</v>
      </c>
      <c r="AZ130" s="34" t="s">
        <v>593</v>
      </c>
      <c r="BA130" s="25" t="s">
        <v>602</v>
      </c>
      <c r="BC130" s="33">
        <f t="shared" si="146"/>
        <v>0</v>
      </c>
      <c r="BD130" s="33">
        <f t="shared" si="147"/>
        <v>0</v>
      </c>
      <c r="BE130" s="33">
        <v>0</v>
      </c>
      <c r="BF130" s="33">
        <f t="shared" si="148"/>
        <v>0</v>
      </c>
      <c r="BH130" s="18">
        <f t="shared" si="149"/>
        <v>0</v>
      </c>
      <c r="BI130" s="18">
        <f t="shared" si="150"/>
        <v>0</v>
      </c>
      <c r="BJ130" s="18">
        <f t="shared" si="151"/>
        <v>0</v>
      </c>
    </row>
    <row r="131" spans="1:62" ht="12.75">
      <c r="A131" s="86" t="s">
        <v>107</v>
      </c>
      <c r="B131" s="86" t="s">
        <v>199</v>
      </c>
      <c r="C131" s="86" t="s">
        <v>216</v>
      </c>
      <c r="D131" s="86" t="s">
        <v>364</v>
      </c>
      <c r="E131" s="86" t="s">
        <v>530</v>
      </c>
      <c r="F131" s="87">
        <v>72.82</v>
      </c>
      <c r="G131" s="87"/>
      <c r="H131" s="87">
        <f t="shared" si="126"/>
        <v>0</v>
      </c>
      <c r="I131" s="87">
        <f t="shared" si="127"/>
        <v>0</v>
      </c>
      <c r="J131" s="87">
        <f t="shared" si="128"/>
        <v>0</v>
      </c>
      <c r="K131" s="88">
        <f>IF(J250=0,0,J131/J250)</f>
        <v>0</v>
      </c>
      <c r="L131" s="87">
        <v>0</v>
      </c>
      <c r="M131" s="87">
        <f t="shared" si="129"/>
        <v>0</v>
      </c>
      <c r="N131" s="89" t="s">
        <v>559</v>
      </c>
      <c r="Z131" s="33">
        <f t="shared" si="130"/>
        <v>0</v>
      </c>
      <c r="AB131" s="33">
        <f t="shared" si="131"/>
        <v>0</v>
      </c>
      <c r="AC131" s="33">
        <f t="shared" si="132"/>
        <v>0</v>
      </c>
      <c r="AD131" s="33">
        <f t="shared" si="133"/>
        <v>0</v>
      </c>
      <c r="AE131" s="33">
        <f t="shared" si="134"/>
        <v>0</v>
      </c>
      <c r="AF131" s="33">
        <f t="shared" si="135"/>
        <v>0</v>
      </c>
      <c r="AG131" s="33">
        <f t="shared" si="136"/>
        <v>0</v>
      </c>
      <c r="AH131" s="33">
        <f t="shared" si="137"/>
        <v>0</v>
      </c>
      <c r="AI131" s="25" t="s">
        <v>199</v>
      </c>
      <c r="AJ131" s="18">
        <f t="shared" si="138"/>
        <v>0</v>
      </c>
      <c r="AK131" s="18">
        <f t="shared" si="139"/>
        <v>0</v>
      </c>
      <c r="AL131" s="18">
        <f t="shared" si="140"/>
        <v>0</v>
      </c>
      <c r="AN131" s="33">
        <v>21</v>
      </c>
      <c r="AO131" s="33">
        <f t="shared" si="141"/>
        <v>0</v>
      </c>
      <c r="AP131" s="33">
        <f t="shared" si="142"/>
        <v>0</v>
      </c>
      <c r="AQ131" s="30" t="s">
        <v>6</v>
      </c>
      <c r="AV131" s="33">
        <f t="shared" si="143"/>
        <v>0</v>
      </c>
      <c r="AW131" s="33">
        <f t="shared" si="144"/>
        <v>0</v>
      </c>
      <c r="AX131" s="33">
        <f t="shared" si="145"/>
        <v>0</v>
      </c>
      <c r="AY131" s="34" t="s">
        <v>573</v>
      </c>
      <c r="AZ131" s="34" t="s">
        <v>593</v>
      </c>
      <c r="BA131" s="25" t="s">
        <v>602</v>
      </c>
      <c r="BC131" s="33">
        <f t="shared" si="146"/>
        <v>0</v>
      </c>
      <c r="BD131" s="33">
        <f t="shared" si="147"/>
        <v>0</v>
      </c>
      <c r="BE131" s="33">
        <v>0</v>
      </c>
      <c r="BF131" s="33">
        <f t="shared" si="148"/>
        <v>0</v>
      </c>
      <c r="BH131" s="18">
        <f t="shared" si="149"/>
        <v>0</v>
      </c>
      <c r="BI131" s="18">
        <f t="shared" si="150"/>
        <v>0</v>
      </c>
      <c r="BJ131" s="18">
        <f t="shared" si="151"/>
        <v>0</v>
      </c>
    </row>
    <row r="132" spans="1:62" ht="12.75">
      <c r="A132" s="86" t="s">
        <v>108</v>
      </c>
      <c r="B132" s="86" t="s">
        <v>199</v>
      </c>
      <c r="C132" s="86" t="s">
        <v>217</v>
      </c>
      <c r="D132" s="86" t="s">
        <v>365</v>
      </c>
      <c r="E132" s="86" t="s">
        <v>530</v>
      </c>
      <c r="F132" s="87">
        <v>72.82</v>
      </c>
      <c r="G132" s="87"/>
      <c r="H132" s="87">
        <f t="shared" si="126"/>
        <v>0</v>
      </c>
      <c r="I132" s="87">
        <f t="shared" si="127"/>
        <v>0</v>
      </c>
      <c r="J132" s="87">
        <f t="shared" si="128"/>
        <v>0</v>
      </c>
      <c r="K132" s="88">
        <f>IF(J250=0,0,J132/J250)</f>
        <v>0</v>
      </c>
      <c r="L132" s="87">
        <v>0.00816</v>
      </c>
      <c r="M132" s="87">
        <f t="shared" si="129"/>
        <v>0.5942111999999999</v>
      </c>
      <c r="N132" s="89" t="s">
        <v>559</v>
      </c>
      <c r="Z132" s="33">
        <f t="shared" si="130"/>
        <v>0</v>
      </c>
      <c r="AB132" s="33">
        <f t="shared" si="131"/>
        <v>0</v>
      </c>
      <c r="AC132" s="33">
        <f t="shared" si="132"/>
        <v>0</v>
      </c>
      <c r="AD132" s="33">
        <f t="shared" si="133"/>
        <v>0</v>
      </c>
      <c r="AE132" s="33">
        <f t="shared" si="134"/>
        <v>0</v>
      </c>
      <c r="AF132" s="33">
        <f t="shared" si="135"/>
        <v>0</v>
      </c>
      <c r="AG132" s="33">
        <f t="shared" si="136"/>
        <v>0</v>
      </c>
      <c r="AH132" s="33">
        <f t="shared" si="137"/>
        <v>0</v>
      </c>
      <c r="AI132" s="25" t="s">
        <v>199</v>
      </c>
      <c r="AJ132" s="18">
        <f t="shared" si="138"/>
        <v>0</v>
      </c>
      <c r="AK132" s="18">
        <f t="shared" si="139"/>
        <v>0</v>
      </c>
      <c r="AL132" s="18">
        <f t="shared" si="140"/>
        <v>0</v>
      </c>
      <c r="AN132" s="33">
        <v>21</v>
      </c>
      <c r="AO132" s="33">
        <f>G132*0.120368737814699</f>
        <v>0</v>
      </c>
      <c r="AP132" s="33">
        <f>G132*(1-0.120368737814699)</f>
        <v>0</v>
      </c>
      <c r="AQ132" s="30" t="s">
        <v>6</v>
      </c>
      <c r="AV132" s="33">
        <f t="shared" si="143"/>
        <v>0</v>
      </c>
      <c r="AW132" s="33">
        <f t="shared" si="144"/>
        <v>0</v>
      </c>
      <c r="AX132" s="33">
        <f t="shared" si="145"/>
        <v>0</v>
      </c>
      <c r="AY132" s="34" t="s">
        <v>573</v>
      </c>
      <c r="AZ132" s="34" t="s">
        <v>593</v>
      </c>
      <c r="BA132" s="25" t="s">
        <v>602</v>
      </c>
      <c r="BC132" s="33">
        <f t="shared" si="146"/>
        <v>0</v>
      </c>
      <c r="BD132" s="33">
        <f t="shared" si="147"/>
        <v>0</v>
      </c>
      <c r="BE132" s="33">
        <v>0</v>
      </c>
      <c r="BF132" s="33">
        <f t="shared" si="148"/>
        <v>0.5942111999999999</v>
      </c>
      <c r="BH132" s="18">
        <f t="shared" si="149"/>
        <v>0</v>
      </c>
      <c r="BI132" s="18">
        <f t="shared" si="150"/>
        <v>0</v>
      </c>
      <c r="BJ132" s="18">
        <f t="shared" si="151"/>
        <v>0</v>
      </c>
    </row>
    <row r="133" spans="1:62" ht="12.75">
      <c r="A133" s="86" t="s">
        <v>109</v>
      </c>
      <c r="B133" s="86" t="s">
        <v>199</v>
      </c>
      <c r="C133" s="86" t="s">
        <v>218</v>
      </c>
      <c r="D133" s="86" t="s">
        <v>366</v>
      </c>
      <c r="E133" s="86" t="s">
        <v>530</v>
      </c>
      <c r="F133" s="87">
        <v>36.41</v>
      </c>
      <c r="G133" s="87"/>
      <c r="H133" s="87">
        <f t="shared" si="126"/>
        <v>0</v>
      </c>
      <c r="I133" s="87">
        <f t="shared" si="127"/>
        <v>0</v>
      </c>
      <c r="J133" s="87">
        <f t="shared" si="128"/>
        <v>0</v>
      </c>
      <c r="K133" s="88">
        <f>IF(J250=0,0,J133/J250)</f>
        <v>0</v>
      </c>
      <c r="L133" s="87">
        <v>0.0154</v>
      </c>
      <c r="M133" s="87">
        <f t="shared" si="129"/>
        <v>0.5607139999999999</v>
      </c>
      <c r="N133" s="89" t="s">
        <v>559</v>
      </c>
      <c r="Z133" s="33">
        <f t="shared" si="130"/>
        <v>0</v>
      </c>
      <c r="AB133" s="33">
        <f t="shared" si="131"/>
        <v>0</v>
      </c>
      <c r="AC133" s="33">
        <f t="shared" si="132"/>
        <v>0</v>
      </c>
      <c r="AD133" s="33">
        <f t="shared" si="133"/>
        <v>0</v>
      </c>
      <c r="AE133" s="33">
        <f t="shared" si="134"/>
        <v>0</v>
      </c>
      <c r="AF133" s="33">
        <f t="shared" si="135"/>
        <v>0</v>
      </c>
      <c r="AG133" s="33">
        <f t="shared" si="136"/>
        <v>0</v>
      </c>
      <c r="AH133" s="33">
        <f t="shared" si="137"/>
        <v>0</v>
      </c>
      <c r="AI133" s="25" t="s">
        <v>199</v>
      </c>
      <c r="AJ133" s="18">
        <f t="shared" si="138"/>
        <v>0</v>
      </c>
      <c r="AK133" s="18">
        <f t="shared" si="139"/>
        <v>0</v>
      </c>
      <c r="AL133" s="18">
        <f t="shared" si="140"/>
        <v>0</v>
      </c>
      <c r="AN133" s="33">
        <v>21</v>
      </c>
      <c r="AO133" s="33">
        <f>G133*0.137884115125016</f>
        <v>0</v>
      </c>
      <c r="AP133" s="33">
        <f>G133*(1-0.137884115125016)</f>
        <v>0</v>
      </c>
      <c r="AQ133" s="30" t="s">
        <v>6</v>
      </c>
      <c r="AV133" s="33">
        <f t="shared" si="143"/>
        <v>0</v>
      </c>
      <c r="AW133" s="33">
        <f t="shared" si="144"/>
        <v>0</v>
      </c>
      <c r="AX133" s="33">
        <f t="shared" si="145"/>
        <v>0</v>
      </c>
      <c r="AY133" s="34" t="s">
        <v>573</v>
      </c>
      <c r="AZ133" s="34" t="s">
        <v>593</v>
      </c>
      <c r="BA133" s="25" t="s">
        <v>602</v>
      </c>
      <c r="BC133" s="33">
        <f t="shared" si="146"/>
        <v>0</v>
      </c>
      <c r="BD133" s="33">
        <f t="shared" si="147"/>
        <v>0</v>
      </c>
      <c r="BE133" s="33">
        <v>0</v>
      </c>
      <c r="BF133" s="33">
        <f t="shared" si="148"/>
        <v>0.5607139999999999</v>
      </c>
      <c r="BH133" s="18">
        <f t="shared" si="149"/>
        <v>0</v>
      </c>
      <c r="BI133" s="18">
        <f t="shared" si="150"/>
        <v>0</v>
      </c>
      <c r="BJ133" s="18">
        <f t="shared" si="151"/>
        <v>0</v>
      </c>
    </row>
    <row r="134" spans="1:62" ht="12.75">
      <c r="A134" s="86" t="s">
        <v>110</v>
      </c>
      <c r="B134" s="86" t="s">
        <v>199</v>
      </c>
      <c r="C134" s="86" t="s">
        <v>219</v>
      </c>
      <c r="D134" s="86" t="s">
        <v>367</v>
      </c>
      <c r="E134" s="86" t="s">
        <v>530</v>
      </c>
      <c r="F134" s="87">
        <v>36.41</v>
      </c>
      <c r="G134" s="87"/>
      <c r="H134" s="87">
        <f t="shared" si="126"/>
        <v>0</v>
      </c>
      <c r="I134" s="87">
        <f t="shared" si="127"/>
        <v>0</v>
      </c>
      <c r="J134" s="87">
        <f t="shared" si="128"/>
        <v>0</v>
      </c>
      <c r="K134" s="88">
        <f>IF(J250=0,0,J134/J250)</f>
        <v>0</v>
      </c>
      <c r="L134" s="87">
        <v>0.01733</v>
      </c>
      <c r="M134" s="87">
        <f t="shared" si="129"/>
        <v>0.6309853</v>
      </c>
      <c r="N134" s="89" t="s">
        <v>559</v>
      </c>
      <c r="Z134" s="33">
        <f t="shared" si="130"/>
        <v>0</v>
      </c>
      <c r="AB134" s="33">
        <f t="shared" si="131"/>
        <v>0</v>
      </c>
      <c r="AC134" s="33">
        <f t="shared" si="132"/>
        <v>0</v>
      </c>
      <c r="AD134" s="33">
        <f t="shared" si="133"/>
        <v>0</v>
      </c>
      <c r="AE134" s="33">
        <f t="shared" si="134"/>
        <v>0</v>
      </c>
      <c r="AF134" s="33">
        <f t="shared" si="135"/>
        <v>0</v>
      </c>
      <c r="AG134" s="33">
        <f t="shared" si="136"/>
        <v>0</v>
      </c>
      <c r="AH134" s="33">
        <f t="shared" si="137"/>
        <v>0</v>
      </c>
      <c r="AI134" s="25" t="s">
        <v>199</v>
      </c>
      <c r="AJ134" s="18">
        <f t="shared" si="138"/>
        <v>0</v>
      </c>
      <c r="AK134" s="18">
        <f t="shared" si="139"/>
        <v>0</v>
      </c>
      <c r="AL134" s="18">
        <f t="shared" si="140"/>
        <v>0</v>
      </c>
      <c r="AN134" s="33">
        <v>21</v>
      </c>
      <c r="AO134" s="33">
        <f>G134*0.111838460573758</f>
        <v>0</v>
      </c>
      <c r="AP134" s="33">
        <f>G134*(1-0.111838460573758)</f>
        <v>0</v>
      </c>
      <c r="AQ134" s="30" t="s">
        <v>6</v>
      </c>
      <c r="AV134" s="33">
        <f t="shared" si="143"/>
        <v>0</v>
      </c>
      <c r="AW134" s="33">
        <f t="shared" si="144"/>
        <v>0</v>
      </c>
      <c r="AX134" s="33">
        <f t="shared" si="145"/>
        <v>0</v>
      </c>
      <c r="AY134" s="34" t="s">
        <v>573</v>
      </c>
      <c r="AZ134" s="34" t="s">
        <v>593</v>
      </c>
      <c r="BA134" s="25" t="s">
        <v>602</v>
      </c>
      <c r="BC134" s="33">
        <f t="shared" si="146"/>
        <v>0</v>
      </c>
      <c r="BD134" s="33">
        <f t="shared" si="147"/>
        <v>0</v>
      </c>
      <c r="BE134" s="33">
        <v>0</v>
      </c>
      <c r="BF134" s="33">
        <f t="shared" si="148"/>
        <v>0.6309853</v>
      </c>
      <c r="BH134" s="18">
        <f t="shared" si="149"/>
        <v>0</v>
      </c>
      <c r="BI134" s="18">
        <f t="shared" si="150"/>
        <v>0</v>
      </c>
      <c r="BJ134" s="18">
        <f t="shared" si="151"/>
        <v>0</v>
      </c>
    </row>
    <row r="135" spans="1:62" ht="12.75">
      <c r="A135" s="86" t="s">
        <v>111</v>
      </c>
      <c r="B135" s="86" t="s">
        <v>199</v>
      </c>
      <c r="C135" s="86" t="s">
        <v>220</v>
      </c>
      <c r="D135" s="86" t="s">
        <v>368</v>
      </c>
      <c r="E135" s="86" t="s">
        <v>530</v>
      </c>
      <c r="F135" s="87">
        <v>509.74</v>
      </c>
      <c r="G135" s="87"/>
      <c r="H135" s="87">
        <f t="shared" si="126"/>
        <v>0</v>
      </c>
      <c r="I135" s="87">
        <f t="shared" si="127"/>
        <v>0</v>
      </c>
      <c r="J135" s="87">
        <f t="shared" si="128"/>
        <v>0</v>
      </c>
      <c r="K135" s="88">
        <f>IF(J250=0,0,J135/J250)</f>
        <v>0</v>
      </c>
      <c r="L135" s="87">
        <v>0</v>
      </c>
      <c r="M135" s="87">
        <f t="shared" si="129"/>
        <v>0</v>
      </c>
      <c r="N135" s="89" t="s">
        <v>559</v>
      </c>
      <c r="Z135" s="33">
        <f t="shared" si="130"/>
        <v>0</v>
      </c>
      <c r="AB135" s="33">
        <f t="shared" si="131"/>
        <v>0</v>
      </c>
      <c r="AC135" s="33">
        <f t="shared" si="132"/>
        <v>0</v>
      </c>
      <c r="AD135" s="33">
        <f t="shared" si="133"/>
        <v>0</v>
      </c>
      <c r="AE135" s="33">
        <f t="shared" si="134"/>
        <v>0</v>
      </c>
      <c r="AF135" s="33">
        <f t="shared" si="135"/>
        <v>0</v>
      </c>
      <c r="AG135" s="33">
        <f t="shared" si="136"/>
        <v>0</v>
      </c>
      <c r="AH135" s="33">
        <f t="shared" si="137"/>
        <v>0</v>
      </c>
      <c r="AI135" s="25" t="s">
        <v>199</v>
      </c>
      <c r="AJ135" s="18">
        <f t="shared" si="138"/>
        <v>0</v>
      </c>
      <c r="AK135" s="18">
        <f t="shared" si="139"/>
        <v>0</v>
      </c>
      <c r="AL135" s="18">
        <f t="shared" si="140"/>
        <v>0</v>
      </c>
      <c r="AN135" s="33">
        <v>21</v>
      </c>
      <c r="AO135" s="33">
        <f>G135*0</f>
        <v>0</v>
      </c>
      <c r="AP135" s="33">
        <f>G135*(1-0)</f>
        <v>0</v>
      </c>
      <c r="AQ135" s="30" t="s">
        <v>6</v>
      </c>
      <c r="AV135" s="33">
        <f t="shared" si="143"/>
        <v>0</v>
      </c>
      <c r="AW135" s="33">
        <f t="shared" si="144"/>
        <v>0</v>
      </c>
      <c r="AX135" s="33">
        <f t="shared" si="145"/>
        <v>0</v>
      </c>
      <c r="AY135" s="34" t="s">
        <v>573</v>
      </c>
      <c r="AZ135" s="34" t="s">
        <v>593</v>
      </c>
      <c r="BA135" s="25" t="s">
        <v>602</v>
      </c>
      <c r="BC135" s="33">
        <f t="shared" si="146"/>
        <v>0</v>
      </c>
      <c r="BD135" s="33">
        <f t="shared" si="147"/>
        <v>0</v>
      </c>
      <c r="BE135" s="33">
        <v>0</v>
      </c>
      <c r="BF135" s="33">
        <f t="shared" si="148"/>
        <v>0</v>
      </c>
      <c r="BH135" s="18">
        <f t="shared" si="149"/>
        <v>0</v>
      </c>
      <c r="BI135" s="18">
        <f t="shared" si="150"/>
        <v>0</v>
      </c>
      <c r="BJ135" s="18">
        <f t="shared" si="151"/>
        <v>0</v>
      </c>
    </row>
    <row r="136" spans="1:62" ht="12.75">
      <c r="A136" s="86" t="s">
        <v>112</v>
      </c>
      <c r="B136" s="86" t="s">
        <v>199</v>
      </c>
      <c r="C136" s="86" t="s">
        <v>221</v>
      </c>
      <c r="D136" s="86" t="s">
        <v>369</v>
      </c>
      <c r="E136" s="86" t="s">
        <v>530</v>
      </c>
      <c r="F136" s="87">
        <v>72.82</v>
      </c>
      <c r="G136" s="87"/>
      <c r="H136" s="87">
        <f t="shared" si="126"/>
        <v>0</v>
      </c>
      <c r="I136" s="87">
        <f t="shared" si="127"/>
        <v>0</v>
      </c>
      <c r="J136" s="87">
        <f t="shared" si="128"/>
        <v>0</v>
      </c>
      <c r="K136" s="88">
        <f>IF(J250=0,0,J136/J250)</f>
        <v>0</v>
      </c>
      <c r="L136" s="87">
        <v>0</v>
      </c>
      <c r="M136" s="87">
        <f t="shared" si="129"/>
        <v>0</v>
      </c>
      <c r="N136" s="89" t="s">
        <v>559</v>
      </c>
      <c r="Z136" s="33">
        <f t="shared" si="130"/>
        <v>0</v>
      </c>
      <c r="AB136" s="33">
        <f t="shared" si="131"/>
        <v>0</v>
      </c>
      <c r="AC136" s="33">
        <f t="shared" si="132"/>
        <v>0</v>
      </c>
      <c r="AD136" s="33">
        <f t="shared" si="133"/>
        <v>0</v>
      </c>
      <c r="AE136" s="33">
        <f t="shared" si="134"/>
        <v>0</v>
      </c>
      <c r="AF136" s="33">
        <f t="shared" si="135"/>
        <v>0</v>
      </c>
      <c r="AG136" s="33">
        <f t="shared" si="136"/>
        <v>0</v>
      </c>
      <c r="AH136" s="33">
        <f t="shared" si="137"/>
        <v>0</v>
      </c>
      <c r="AI136" s="25" t="s">
        <v>199</v>
      </c>
      <c r="AJ136" s="18">
        <f t="shared" si="138"/>
        <v>0</v>
      </c>
      <c r="AK136" s="18">
        <f t="shared" si="139"/>
        <v>0</v>
      </c>
      <c r="AL136" s="18">
        <f t="shared" si="140"/>
        <v>0</v>
      </c>
      <c r="AN136" s="33">
        <v>21</v>
      </c>
      <c r="AO136" s="33">
        <f>G136*0</f>
        <v>0</v>
      </c>
      <c r="AP136" s="33">
        <f>G136*(1-0)</f>
        <v>0</v>
      </c>
      <c r="AQ136" s="30" t="s">
        <v>6</v>
      </c>
      <c r="AV136" s="33">
        <f t="shared" si="143"/>
        <v>0</v>
      </c>
      <c r="AW136" s="33">
        <f t="shared" si="144"/>
        <v>0</v>
      </c>
      <c r="AX136" s="33">
        <f t="shared" si="145"/>
        <v>0</v>
      </c>
      <c r="AY136" s="34" t="s">
        <v>573</v>
      </c>
      <c r="AZ136" s="34" t="s">
        <v>593</v>
      </c>
      <c r="BA136" s="25" t="s">
        <v>602</v>
      </c>
      <c r="BC136" s="33">
        <f t="shared" si="146"/>
        <v>0</v>
      </c>
      <c r="BD136" s="33">
        <f t="shared" si="147"/>
        <v>0</v>
      </c>
      <c r="BE136" s="33">
        <v>0</v>
      </c>
      <c r="BF136" s="33">
        <f t="shared" si="148"/>
        <v>0</v>
      </c>
      <c r="BH136" s="18">
        <f t="shared" si="149"/>
        <v>0</v>
      </c>
      <c r="BI136" s="18">
        <f t="shared" si="150"/>
        <v>0</v>
      </c>
      <c r="BJ136" s="18">
        <f t="shared" si="151"/>
        <v>0</v>
      </c>
    </row>
    <row r="137" spans="1:62" ht="12.75">
      <c r="A137" s="86" t="s">
        <v>113</v>
      </c>
      <c r="B137" s="86" t="s">
        <v>199</v>
      </c>
      <c r="C137" s="86" t="s">
        <v>222</v>
      </c>
      <c r="D137" s="86" t="s">
        <v>371</v>
      </c>
      <c r="E137" s="86" t="s">
        <v>530</v>
      </c>
      <c r="F137" s="87">
        <v>58.256</v>
      </c>
      <c r="G137" s="87"/>
      <c r="H137" s="87">
        <f t="shared" si="126"/>
        <v>0</v>
      </c>
      <c r="I137" s="87">
        <f t="shared" si="127"/>
        <v>0</v>
      </c>
      <c r="J137" s="87">
        <f t="shared" si="128"/>
        <v>0</v>
      </c>
      <c r="K137" s="88">
        <f>IF(J250=0,0,J137/J250)</f>
        <v>0</v>
      </c>
      <c r="L137" s="87">
        <v>0</v>
      </c>
      <c r="M137" s="87">
        <f t="shared" si="129"/>
        <v>0</v>
      </c>
      <c r="N137" s="89" t="s">
        <v>559</v>
      </c>
      <c r="Z137" s="33">
        <f t="shared" si="130"/>
        <v>0</v>
      </c>
      <c r="AB137" s="33">
        <f t="shared" si="131"/>
        <v>0</v>
      </c>
      <c r="AC137" s="33">
        <f t="shared" si="132"/>
        <v>0</v>
      </c>
      <c r="AD137" s="33">
        <f t="shared" si="133"/>
        <v>0</v>
      </c>
      <c r="AE137" s="33">
        <f t="shared" si="134"/>
        <v>0</v>
      </c>
      <c r="AF137" s="33">
        <f t="shared" si="135"/>
        <v>0</v>
      </c>
      <c r="AG137" s="33">
        <f t="shared" si="136"/>
        <v>0</v>
      </c>
      <c r="AH137" s="33">
        <f t="shared" si="137"/>
        <v>0</v>
      </c>
      <c r="AI137" s="25" t="s">
        <v>199</v>
      </c>
      <c r="AJ137" s="18">
        <f t="shared" si="138"/>
        <v>0</v>
      </c>
      <c r="AK137" s="18">
        <f t="shared" si="139"/>
        <v>0</v>
      </c>
      <c r="AL137" s="18">
        <f t="shared" si="140"/>
        <v>0</v>
      </c>
      <c r="AN137" s="33">
        <v>21</v>
      </c>
      <c r="AO137" s="33">
        <f>G137*0</f>
        <v>0</v>
      </c>
      <c r="AP137" s="33">
        <f>G137*(1-0)</f>
        <v>0</v>
      </c>
      <c r="AQ137" s="30" t="s">
        <v>6</v>
      </c>
      <c r="AV137" s="33">
        <f t="shared" si="143"/>
        <v>0</v>
      </c>
      <c r="AW137" s="33">
        <f t="shared" si="144"/>
        <v>0</v>
      </c>
      <c r="AX137" s="33">
        <f t="shared" si="145"/>
        <v>0</v>
      </c>
      <c r="AY137" s="34" t="s">
        <v>573</v>
      </c>
      <c r="AZ137" s="34" t="s">
        <v>593</v>
      </c>
      <c r="BA137" s="25" t="s">
        <v>602</v>
      </c>
      <c r="BC137" s="33">
        <f t="shared" si="146"/>
        <v>0</v>
      </c>
      <c r="BD137" s="33">
        <f t="shared" si="147"/>
        <v>0</v>
      </c>
      <c r="BE137" s="33">
        <v>0</v>
      </c>
      <c r="BF137" s="33">
        <f t="shared" si="148"/>
        <v>0</v>
      </c>
      <c r="BH137" s="18">
        <f t="shared" si="149"/>
        <v>0</v>
      </c>
      <c r="BI137" s="18">
        <f t="shared" si="150"/>
        <v>0</v>
      </c>
      <c r="BJ137" s="18">
        <f t="shared" si="151"/>
        <v>0</v>
      </c>
    </row>
    <row r="138" spans="1:62" ht="12.75">
      <c r="A138" s="86" t="s">
        <v>114</v>
      </c>
      <c r="B138" s="86" t="s">
        <v>199</v>
      </c>
      <c r="C138" s="86" t="s">
        <v>223</v>
      </c>
      <c r="D138" s="86" t="s">
        <v>372</v>
      </c>
      <c r="E138" s="86" t="s">
        <v>530</v>
      </c>
      <c r="F138" s="87">
        <v>18.15</v>
      </c>
      <c r="G138" s="87"/>
      <c r="H138" s="87">
        <f t="shared" si="126"/>
        <v>0</v>
      </c>
      <c r="I138" s="87">
        <f t="shared" si="127"/>
        <v>0</v>
      </c>
      <c r="J138" s="87">
        <f t="shared" si="128"/>
        <v>0</v>
      </c>
      <c r="K138" s="88">
        <f>IF(J250=0,0,J138/J250)</f>
        <v>0</v>
      </c>
      <c r="L138" s="87">
        <v>0</v>
      </c>
      <c r="M138" s="87">
        <f t="shared" si="129"/>
        <v>0</v>
      </c>
      <c r="N138" s="89" t="s">
        <v>559</v>
      </c>
      <c r="Z138" s="33">
        <f t="shared" si="130"/>
        <v>0</v>
      </c>
      <c r="AB138" s="33">
        <f t="shared" si="131"/>
        <v>0</v>
      </c>
      <c r="AC138" s="33">
        <f t="shared" si="132"/>
        <v>0</v>
      </c>
      <c r="AD138" s="33">
        <f t="shared" si="133"/>
        <v>0</v>
      </c>
      <c r="AE138" s="33">
        <f t="shared" si="134"/>
        <v>0</v>
      </c>
      <c r="AF138" s="33">
        <f t="shared" si="135"/>
        <v>0</v>
      </c>
      <c r="AG138" s="33">
        <f t="shared" si="136"/>
        <v>0</v>
      </c>
      <c r="AH138" s="33">
        <f t="shared" si="137"/>
        <v>0</v>
      </c>
      <c r="AI138" s="25" t="s">
        <v>199</v>
      </c>
      <c r="AJ138" s="18">
        <f t="shared" si="138"/>
        <v>0</v>
      </c>
      <c r="AK138" s="18">
        <f t="shared" si="139"/>
        <v>0</v>
      </c>
      <c r="AL138" s="18">
        <f t="shared" si="140"/>
        <v>0</v>
      </c>
      <c r="AN138" s="33">
        <v>21</v>
      </c>
      <c r="AO138" s="33">
        <f>G138*0</f>
        <v>0</v>
      </c>
      <c r="AP138" s="33">
        <f>G138*(1-0)</f>
        <v>0</v>
      </c>
      <c r="AQ138" s="30" t="s">
        <v>6</v>
      </c>
      <c r="AV138" s="33">
        <f t="shared" si="143"/>
        <v>0</v>
      </c>
      <c r="AW138" s="33">
        <f t="shared" si="144"/>
        <v>0</v>
      </c>
      <c r="AX138" s="33">
        <f t="shared" si="145"/>
        <v>0</v>
      </c>
      <c r="AY138" s="34" t="s">
        <v>573</v>
      </c>
      <c r="AZ138" s="34" t="s">
        <v>593</v>
      </c>
      <c r="BA138" s="25" t="s">
        <v>602</v>
      </c>
      <c r="BC138" s="33">
        <f t="shared" si="146"/>
        <v>0</v>
      </c>
      <c r="BD138" s="33">
        <f t="shared" si="147"/>
        <v>0</v>
      </c>
      <c r="BE138" s="33">
        <v>0</v>
      </c>
      <c r="BF138" s="33">
        <f t="shared" si="148"/>
        <v>0</v>
      </c>
      <c r="BH138" s="18">
        <f t="shared" si="149"/>
        <v>0</v>
      </c>
      <c r="BI138" s="18">
        <f t="shared" si="150"/>
        <v>0</v>
      </c>
      <c r="BJ138" s="18">
        <f t="shared" si="151"/>
        <v>0</v>
      </c>
    </row>
    <row r="139" spans="1:14" ht="12.75">
      <c r="A139" s="95"/>
      <c r="B139" s="95"/>
      <c r="C139" s="95"/>
      <c r="D139" s="96" t="s">
        <v>373</v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1:62" ht="12.75">
      <c r="A140" s="86" t="s">
        <v>115</v>
      </c>
      <c r="B140" s="86" t="s">
        <v>199</v>
      </c>
      <c r="C140" s="86" t="s">
        <v>228</v>
      </c>
      <c r="D140" s="86" t="s">
        <v>380</v>
      </c>
      <c r="E140" s="86" t="s">
        <v>530</v>
      </c>
      <c r="F140" s="87">
        <v>746.35</v>
      </c>
      <c r="G140" s="87"/>
      <c r="H140" s="87">
        <f>F140*AO140</f>
        <v>0</v>
      </c>
      <c r="I140" s="87">
        <f>F140*AP140</f>
        <v>0</v>
      </c>
      <c r="J140" s="87">
        <f>F140*G140</f>
        <v>0</v>
      </c>
      <c r="K140" s="88">
        <f>IF(J250=0,0,J140/J250)</f>
        <v>0</v>
      </c>
      <c r="L140" s="87">
        <v>0</v>
      </c>
      <c r="M140" s="87">
        <f>F140*L140</f>
        <v>0</v>
      </c>
      <c r="N140" s="89" t="s">
        <v>559</v>
      </c>
      <c r="Z140" s="33">
        <f>IF(AQ140="5",BJ140,0)</f>
        <v>0</v>
      </c>
      <c r="AB140" s="33">
        <f>IF(AQ140="1",BH140,0)</f>
        <v>0</v>
      </c>
      <c r="AC140" s="33">
        <f>IF(AQ140="1",BI140,0)</f>
        <v>0</v>
      </c>
      <c r="AD140" s="33">
        <f>IF(AQ140="7",BH140,0)</f>
        <v>0</v>
      </c>
      <c r="AE140" s="33">
        <f>IF(AQ140="7",BI140,0)</f>
        <v>0</v>
      </c>
      <c r="AF140" s="33">
        <f>IF(AQ140="2",BH140,0)</f>
        <v>0</v>
      </c>
      <c r="AG140" s="33">
        <f>IF(AQ140="2",BI140,0)</f>
        <v>0</v>
      </c>
      <c r="AH140" s="33">
        <f>IF(AQ140="0",BJ140,0)</f>
        <v>0</v>
      </c>
      <c r="AI140" s="25" t="s">
        <v>199</v>
      </c>
      <c r="AJ140" s="18">
        <f>IF(AN140=0,J140,0)</f>
        <v>0</v>
      </c>
      <c r="AK140" s="18">
        <f>IF(AN140=15,J140,0)</f>
        <v>0</v>
      </c>
      <c r="AL140" s="18">
        <f>IF(AN140=21,J140,0)</f>
        <v>0</v>
      </c>
      <c r="AN140" s="33">
        <v>21</v>
      </c>
      <c r="AO140" s="33">
        <f>G140*0</f>
        <v>0</v>
      </c>
      <c r="AP140" s="33">
        <f>G140*(1-0)</f>
        <v>0</v>
      </c>
      <c r="AQ140" s="30" t="s">
        <v>6</v>
      </c>
      <c r="AV140" s="33">
        <f>AW140+AX140</f>
        <v>0</v>
      </c>
      <c r="AW140" s="33">
        <f>F140*AO140</f>
        <v>0</v>
      </c>
      <c r="AX140" s="33">
        <f>F140*AP140</f>
        <v>0</v>
      </c>
      <c r="AY140" s="34" t="s">
        <v>573</v>
      </c>
      <c r="AZ140" s="34" t="s">
        <v>593</v>
      </c>
      <c r="BA140" s="25" t="s">
        <v>602</v>
      </c>
      <c r="BC140" s="33">
        <f>AW140+AX140</f>
        <v>0</v>
      </c>
      <c r="BD140" s="33">
        <f>G140/(100-BE140)*100</f>
        <v>0</v>
      </c>
      <c r="BE140" s="33">
        <v>0</v>
      </c>
      <c r="BF140" s="33">
        <f>M140</f>
        <v>0</v>
      </c>
      <c r="BH140" s="18">
        <f>F140*AO140</f>
        <v>0</v>
      </c>
      <c r="BI140" s="18">
        <f>F140*AP140</f>
        <v>0</v>
      </c>
      <c r="BJ140" s="18">
        <f>F140*G140</f>
        <v>0</v>
      </c>
    </row>
    <row r="141" spans="1:62" ht="12.75">
      <c r="A141" s="86" t="s">
        <v>116</v>
      </c>
      <c r="B141" s="86" t="s">
        <v>199</v>
      </c>
      <c r="C141" s="86" t="s">
        <v>224</v>
      </c>
      <c r="D141" s="86" t="s">
        <v>374</v>
      </c>
      <c r="E141" s="86" t="s">
        <v>530</v>
      </c>
      <c r="F141" s="87">
        <v>600.71</v>
      </c>
      <c r="G141" s="87"/>
      <c r="H141" s="87">
        <f>F141*AO141</f>
        <v>0</v>
      </c>
      <c r="I141" s="87">
        <f>F141*AP141</f>
        <v>0</v>
      </c>
      <c r="J141" s="87">
        <f>F141*G141</f>
        <v>0</v>
      </c>
      <c r="K141" s="88">
        <f>IF(J250=0,0,J141/J250)</f>
        <v>0</v>
      </c>
      <c r="L141" s="87">
        <v>0</v>
      </c>
      <c r="M141" s="87">
        <f>F141*L141</f>
        <v>0</v>
      </c>
      <c r="N141" s="89" t="s">
        <v>559</v>
      </c>
      <c r="Z141" s="33">
        <f>IF(AQ141="5",BJ141,0)</f>
        <v>0</v>
      </c>
      <c r="AB141" s="33">
        <f>IF(AQ141="1",BH141,0)</f>
        <v>0</v>
      </c>
      <c r="AC141" s="33">
        <f>IF(AQ141="1",BI141,0)</f>
        <v>0</v>
      </c>
      <c r="AD141" s="33">
        <f>IF(AQ141="7",BH141,0)</f>
        <v>0</v>
      </c>
      <c r="AE141" s="33">
        <f>IF(AQ141="7",BI141,0)</f>
        <v>0</v>
      </c>
      <c r="AF141" s="33">
        <f>IF(AQ141="2",BH141,0)</f>
        <v>0</v>
      </c>
      <c r="AG141" s="33">
        <f>IF(AQ141="2",BI141,0)</f>
        <v>0</v>
      </c>
      <c r="AH141" s="33">
        <f>IF(AQ141="0",BJ141,0)</f>
        <v>0</v>
      </c>
      <c r="AI141" s="25" t="s">
        <v>199</v>
      </c>
      <c r="AJ141" s="18">
        <f>IF(AN141=0,J141,0)</f>
        <v>0</v>
      </c>
      <c r="AK141" s="18">
        <f>IF(AN141=15,J141,0)</f>
        <v>0</v>
      </c>
      <c r="AL141" s="18">
        <f>IF(AN141=21,J141,0)</f>
        <v>0</v>
      </c>
      <c r="AN141" s="33">
        <v>21</v>
      </c>
      <c r="AO141" s="33">
        <f>G141*0</f>
        <v>0</v>
      </c>
      <c r="AP141" s="33">
        <f>G141*(1-0)</f>
        <v>0</v>
      </c>
      <c r="AQ141" s="30" t="s">
        <v>6</v>
      </c>
      <c r="AV141" s="33">
        <f>AW141+AX141</f>
        <v>0</v>
      </c>
      <c r="AW141" s="33">
        <f>F141*AO141</f>
        <v>0</v>
      </c>
      <c r="AX141" s="33">
        <f>F141*AP141</f>
        <v>0</v>
      </c>
      <c r="AY141" s="34" t="s">
        <v>573</v>
      </c>
      <c r="AZ141" s="34" t="s">
        <v>593</v>
      </c>
      <c r="BA141" s="25" t="s">
        <v>602</v>
      </c>
      <c r="BC141" s="33">
        <f>AW141+AX141</f>
        <v>0</v>
      </c>
      <c r="BD141" s="33">
        <f>G141/(100-BE141)*100</f>
        <v>0</v>
      </c>
      <c r="BE141" s="33">
        <v>0</v>
      </c>
      <c r="BF141" s="33">
        <f>M141</f>
        <v>0</v>
      </c>
      <c r="BH141" s="18">
        <f>F141*AO141</f>
        <v>0</v>
      </c>
      <c r="BI141" s="18">
        <f>F141*AP141</f>
        <v>0</v>
      </c>
      <c r="BJ141" s="18">
        <f>F141*G141</f>
        <v>0</v>
      </c>
    </row>
    <row r="142" spans="1:14" ht="12.75">
      <c r="A142" s="95"/>
      <c r="B142" s="95"/>
      <c r="C142" s="95"/>
      <c r="D142" s="96" t="s">
        <v>375</v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1:62" ht="12.75">
      <c r="A143" s="86" t="s">
        <v>117</v>
      </c>
      <c r="B143" s="86" t="s">
        <v>199</v>
      </c>
      <c r="C143" s="86" t="s">
        <v>225</v>
      </c>
      <c r="D143" s="86" t="s">
        <v>376</v>
      </c>
      <c r="E143" s="86" t="s">
        <v>530</v>
      </c>
      <c r="F143" s="87">
        <v>2912.8</v>
      </c>
      <c r="G143" s="87"/>
      <c r="H143" s="87">
        <f>F143*AO143</f>
        <v>0</v>
      </c>
      <c r="I143" s="87">
        <f>F143*AP143</f>
        <v>0</v>
      </c>
      <c r="J143" s="87">
        <f>F143*G143</f>
        <v>0</v>
      </c>
      <c r="K143" s="88">
        <f>IF(J250=0,0,J143/J250)</f>
        <v>0</v>
      </c>
      <c r="L143" s="87">
        <v>0</v>
      </c>
      <c r="M143" s="87">
        <f>F143*L143</f>
        <v>0</v>
      </c>
      <c r="N143" s="89" t="s">
        <v>559</v>
      </c>
      <c r="Z143" s="33">
        <f>IF(AQ143="5",BJ143,0)</f>
        <v>0</v>
      </c>
      <c r="AB143" s="33">
        <f>IF(AQ143="1",BH143,0)</f>
        <v>0</v>
      </c>
      <c r="AC143" s="33">
        <f>IF(AQ143="1",BI143,0)</f>
        <v>0</v>
      </c>
      <c r="AD143" s="33">
        <f>IF(AQ143="7",BH143,0)</f>
        <v>0</v>
      </c>
      <c r="AE143" s="33">
        <f>IF(AQ143="7",BI143,0)</f>
        <v>0</v>
      </c>
      <c r="AF143" s="33">
        <f>IF(AQ143="2",BH143,0)</f>
        <v>0</v>
      </c>
      <c r="AG143" s="33">
        <f>IF(AQ143="2",BI143,0)</f>
        <v>0</v>
      </c>
      <c r="AH143" s="33">
        <f>IF(AQ143="0",BJ143,0)</f>
        <v>0</v>
      </c>
      <c r="AI143" s="25" t="s">
        <v>199</v>
      </c>
      <c r="AJ143" s="18">
        <f>IF(AN143=0,J143,0)</f>
        <v>0</v>
      </c>
      <c r="AK143" s="18">
        <f>IF(AN143=15,J143,0)</f>
        <v>0</v>
      </c>
      <c r="AL143" s="18">
        <f>IF(AN143=21,J143,0)</f>
        <v>0</v>
      </c>
      <c r="AN143" s="33">
        <v>21</v>
      </c>
      <c r="AO143" s="33">
        <f>G143*0</f>
        <v>0</v>
      </c>
      <c r="AP143" s="33">
        <f>G143*(1-0)</f>
        <v>0</v>
      </c>
      <c r="AQ143" s="30" t="s">
        <v>6</v>
      </c>
      <c r="AV143" s="33">
        <f>AW143+AX143</f>
        <v>0</v>
      </c>
      <c r="AW143" s="33">
        <f>F143*AO143</f>
        <v>0</v>
      </c>
      <c r="AX143" s="33">
        <f>F143*AP143</f>
        <v>0</v>
      </c>
      <c r="AY143" s="34" t="s">
        <v>573</v>
      </c>
      <c r="AZ143" s="34" t="s">
        <v>593</v>
      </c>
      <c r="BA143" s="25" t="s">
        <v>602</v>
      </c>
      <c r="BC143" s="33">
        <f>AW143+AX143</f>
        <v>0</v>
      </c>
      <c r="BD143" s="33">
        <f>G143/(100-BE143)*100</f>
        <v>0</v>
      </c>
      <c r="BE143" s="33">
        <v>0</v>
      </c>
      <c r="BF143" s="33">
        <f>M143</f>
        <v>0</v>
      </c>
      <c r="BH143" s="18">
        <f>F143*AO143</f>
        <v>0</v>
      </c>
      <c r="BI143" s="18">
        <f>F143*AP143</f>
        <v>0</v>
      </c>
      <c r="BJ143" s="18">
        <f>F143*G143</f>
        <v>0</v>
      </c>
    </row>
    <row r="144" spans="1:14" ht="12.75">
      <c r="A144" s="95"/>
      <c r="B144" s="95"/>
      <c r="C144" s="95"/>
      <c r="D144" s="96" t="s">
        <v>377</v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1:62" ht="12.75">
      <c r="A145" s="86" t="s">
        <v>118</v>
      </c>
      <c r="B145" s="86" t="s">
        <v>199</v>
      </c>
      <c r="C145" s="86" t="s">
        <v>226</v>
      </c>
      <c r="D145" s="86" t="s">
        <v>378</v>
      </c>
      <c r="E145" s="86" t="s">
        <v>530</v>
      </c>
      <c r="F145" s="87">
        <v>145.64</v>
      </c>
      <c r="G145" s="87"/>
      <c r="H145" s="87">
        <f aca="true" t="shared" si="152" ref="H145:H153">F145*AO145</f>
        <v>0</v>
      </c>
      <c r="I145" s="87">
        <f aca="true" t="shared" si="153" ref="I145:I153">F145*AP145</f>
        <v>0</v>
      </c>
      <c r="J145" s="87">
        <f aca="true" t="shared" si="154" ref="J145:J153">F145*G145</f>
        <v>0</v>
      </c>
      <c r="K145" s="88">
        <f>IF(J250=0,0,J145/J250)</f>
        <v>0</v>
      </c>
      <c r="L145" s="87">
        <v>0</v>
      </c>
      <c r="M145" s="87">
        <f aca="true" t="shared" si="155" ref="M145:M153">F145*L145</f>
        <v>0</v>
      </c>
      <c r="N145" s="89" t="s">
        <v>559</v>
      </c>
      <c r="Z145" s="33">
        <f aca="true" t="shared" si="156" ref="Z145:Z153">IF(AQ145="5",BJ145,0)</f>
        <v>0</v>
      </c>
      <c r="AB145" s="33">
        <f aca="true" t="shared" si="157" ref="AB145:AB153">IF(AQ145="1",BH145,0)</f>
        <v>0</v>
      </c>
      <c r="AC145" s="33">
        <f aca="true" t="shared" si="158" ref="AC145:AC153">IF(AQ145="1",BI145,0)</f>
        <v>0</v>
      </c>
      <c r="AD145" s="33">
        <f aca="true" t="shared" si="159" ref="AD145:AD153">IF(AQ145="7",BH145,0)</f>
        <v>0</v>
      </c>
      <c r="AE145" s="33">
        <f aca="true" t="shared" si="160" ref="AE145:AE153">IF(AQ145="7",BI145,0)</f>
        <v>0</v>
      </c>
      <c r="AF145" s="33">
        <f aca="true" t="shared" si="161" ref="AF145:AF153">IF(AQ145="2",BH145,0)</f>
        <v>0</v>
      </c>
      <c r="AG145" s="33">
        <f aca="true" t="shared" si="162" ref="AG145:AG153">IF(AQ145="2",BI145,0)</f>
        <v>0</v>
      </c>
      <c r="AH145" s="33">
        <f aca="true" t="shared" si="163" ref="AH145:AH153">IF(AQ145="0",BJ145,0)</f>
        <v>0</v>
      </c>
      <c r="AI145" s="25" t="s">
        <v>199</v>
      </c>
      <c r="AJ145" s="18">
        <f aca="true" t="shared" si="164" ref="AJ145:AJ153">IF(AN145=0,J145,0)</f>
        <v>0</v>
      </c>
      <c r="AK145" s="18">
        <f aca="true" t="shared" si="165" ref="AK145:AK153">IF(AN145=15,J145,0)</f>
        <v>0</v>
      </c>
      <c r="AL145" s="18">
        <f aca="true" t="shared" si="166" ref="AL145:AL153">IF(AN145=21,J145,0)</f>
        <v>0</v>
      </c>
      <c r="AN145" s="33">
        <v>21</v>
      </c>
      <c r="AO145" s="33">
        <f>G145*0</f>
        <v>0</v>
      </c>
      <c r="AP145" s="33">
        <f>G145*(1-0)</f>
        <v>0</v>
      </c>
      <c r="AQ145" s="30" t="s">
        <v>6</v>
      </c>
      <c r="AV145" s="33">
        <f aca="true" t="shared" si="167" ref="AV145:AV153">AW145+AX145</f>
        <v>0</v>
      </c>
      <c r="AW145" s="33">
        <f aca="true" t="shared" si="168" ref="AW145:AW153">F145*AO145</f>
        <v>0</v>
      </c>
      <c r="AX145" s="33">
        <f aca="true" t="shared" si="169" ref="AX145:AX153">F145*AP145</f>
        <v>0</v>
      </c>
      <c r="AY145" s="34" t="s">
        <v>573</v>
      </c>
      <c r="AZ145" s="34" t="s">
        <v>593</v>
      </c>
      <c r="BA145" s="25" t="s">
        <v>602</v>
      </c>
      <c r="BC145" s="33">
        <f aca="true" t="shared" si="170" ref="BC145:BC153">AW145+AX145</f>
        <v>0</v>
      </c>
      <c r="BD145" s="33">
        <f aca="true" t="shared" si="171" ref="BD145:BD153">G145/(100-BE145)*100</f>
        <v>0</v>
      </c>
      <c r="BE145" s="33">
        <v>0</v>
      </c>
      <c r="BF145" s="33">
        <f aca="true" t="shared" si="172" ref="BF145:BF153">M145</f>
        <v>0</v>
      </c>
      <c r="BH145" s="18">
        <f aca="true" t="shared" si="173" ref="BH145:BH153">F145*AO145</f>
        <v>0</v>
      </c>
      <c r="BI145" s="18">
        <f aca="true" t="shared" si="174" ref="BI145:BI153">F145*AP145</f>
        <v>0</v>
      </c>
      <c r="BJ145" s="18">
        <f aca="true" t="shared" si="175" ref="BJ145:BJ153">F145*G145</f>
        <v>0</v>
      </c>
    </row>
    <row r="146" spans="1:62" ht="12.75">
      <c r="A146" s="86" t="s">
        <v>119</v>
      </c>
      <c r="B146" s="86" t="s">
        <v>199</v>
      </c>
      <c r="C146" s="86" t="s">
        <v>227</v>
      </c>
      <c r="D146" s="86" t="s">
        <v>379</v>
      </c>
      <c r="E146" s="86" t="s">
        <v>530</v>
      </c>
      <c r="F146" s="87">
        <v>728.2</v>
      </c>
      <c r="G146" s="87"/>
      <c r="H146" s="87">
        <f t="shared" si="152"/>
        <v>0</v>
      </c>
      <c r="I146" s="87">
        <f t="shared" si="153"/>
        <v>0</v>
      </c>
      <c r="J146" s="87">
        <f t="shared" si="154"/>
        <v>0</v>
      </c>
      <c r="K146" s="88">
        <f>IF(J250=0,0,J146/J250)</f>
        <v>0</v>
      </c>
      <c r="L146" s="87">
        <v>0</v>
      </c>
      <c r="M146" s="87">
        <f t="shared" si="155"/>
        <v>0</v>
      </c>
      <c r="N146" s="89" t="s">
        <v>559</v>
      </c>
      <c r="Z146" s="33">
        <f t="shared" si="156"/>
        <v>0</v>
      </c>
      <c r="AB146" s="33">
        <f t="shared" si="157"/>
        <v>0</v>
      </c>
      <c r="AC146" s="33">
        <f t="shared" si="158"/>
        <v>0</v>
      </c>
      <c r="AD146" s="33">
        <f t="shared" si="159"/>
        <v>0</v>
      </c>
      <c r="AE146" s="33">
        <f t="shared" si="160"/>
        <v>0</v>
      </c>
      <c r="AF146" s="33">
        <f t="shared" si="161"/>
        <v>0</v>
      </c>
      <c r="AG146" s="33">
        <f t="shared" si="162"/>
        <v>0</v>
      </c>
      <c r="AH146" s="33">
        <f t="shared" si="163"/>
        <v>0</v>
      </c>
      <c r="AI146" s="25" t="s">
        <v>199</v>
      </c>
      <c r="AJ146" s="18">
        <f t="shared" si="164"/>
        <v>0</v>
      </c>
      <c r="AK146" s="18">
        <f t="shared" si="165"/>
        <v>0</v>
      </c>
      <c r="AL146" s="18">
        <f t="shared" si="166"/>
        <v>0</v>
      </c>
      <c r="AN146" s="33">
        <v>21</v>
      </c>
      <c r="AO146" s="33">
        <f>G146*0</f>
        <v>0</v>
      </c>
      <c r="AP146" s="33">
        <f>G146*(1-0)</f>
        <v>0</v>
      </c>
      <c r="AQ146" s="30" t="s">
        <v>6</v>
      </c>
      <c r="AV146" s="33">
        <f t="shared" si="167"/>
        <v>0</v>
      </c>
      <c r="AW146" s="33">
        <f t="shared" si="168"/>
        <v>0</v>
      </c>
      <c r="AX146" s="33">
        <f t="shared" si="169"/>
        <v>0</v>
      </c>
      <c r="AY146" s="34" t="s">
        <v>573</v>
      </c>
      <c r="AZ146" s="34" t="s">
        <v>593</v>
      </c>
      <c r="BA146" s="25" t="s">
        <v>602</v>
      </c>
      <c r="BC146" s="33">
        <f t="shared" si="170"/>
        <v>0</v>
      </c>
      <c r="BD146" s="33">
        <f t="shared" si="171"/>
        <v>0</v>
      </c>
      <c r="BE146" s="33">
        <v>0</v>
      </c>
      <c r="BF146" s="33">
        <f t="shared" si="172"/>
        <v>0</v>
      </c>
      <c r="BH146" s="18">
        <f t="shared" si="173"/>
        <v>0</v>
      </c>
      <c r="BI146" s="18">
        <f t="shared" si="174"/>
        <v>0</v>
      </c>
      <c r="BJ146" s="18">
        <f t="shared" si="175"/>
        <v>0</v>
      </c>
    </row>
    <row r="147" spans="1:62" ht="12.75">
      <c r="A147" s="86" t="s">
        <v>120</v>
      </c>
      <c r="B147" s="86" t="s">
        <v>199</v>
      </c>
      <c r="C147" s="86" t="s">
        <v>214</v>
      </c>
      <c r="D147" s="86" t="s">
        <v>370</v>
      </c>
      <c r="E147" s="86" t="s">
        <v>530</v>
      </c>
      <c r="F147" s="87">
        <v>728.2</v>
      </c>
      <c r="G147" s="87"/>
      <c r="H147" s="87">
        <f t="shared" si="152"/>
        <v>0</v>
      </c>
      <c r="I147" s="87">
        <f t="shared" si="153"/>
        <v>0</v>
      </c>
      <c r="J147" s="87">
        <f t="shared" si="154"/>
        <v>0</v>
      </c>
      <c r="K147" s="88">
        <f>IF(J250=0,0,J147/J250)</f>
        <v>0</v>
      </c>
      <c r="L147" s="87">
        <v>0</v>
      </c>
      <c r="M147" s="87">
        <f t="shared" si="155"/>
        <v>0</v>
      </c>
      <c r="N147" s="89" t="s">
        <v>559</v>
      </c>
      <c r="Z147" s="33">
        <f t="shared" si="156"/>
        <v>0</v>
      </c>
      <c r="AB147" s="33">
        <f t="shared" si="157"/>
        <v>0</v>
      </c>
      <c r="AC147" s="33">
        <f t="shared" si="158"/>
        <v>0</v>
      </c>
      <c r="AD147" s="33">
        <f t="shared" si="159"/>
        <v>0</v>
      </c>
      <c r="AE147" s="33">
        <f t="shared" si="160"/>
        <v>0</v>
      </c>
      <c r="AF147" s="33">
        <f t="shared" si="161"/>
        <v>0</v>
      </c>
      <c r="AG147" s="33">
        <f t="shared" si="162"/>
        <v>0</v>
      </c>
      <c r="AH147" s="33">
        <f t="shared" si="163"/>
        <v>0</v>
      </c>
      <c r="AI147" s="25" t="s">
        <v>199</v>
      </c>
      <c r="AJ147" s="18">
        <f t="shared" si="164"/>
        <v>0</v>
      </c>
      <c r="AK147" s="18">
        <f t="shared" si="165"/>
        <v>0</v>
      </c>
      <c r="AL147" s="18">
        <f t="shared" si="166"/>
        <v>0</v>
      </c>
      <c r="AN147" s="33">
        <v>21</v>
      </c>
      <c r="AO147" s="33">
        <f>G147*0</f>
        <v>0</v>
      </c>
      <c r="AP147" s="33">
        <f>G147*(1-0)</f>
        <v>0</v>
      </c>
      <c r="AQ147" s="30" t="s">
        <v>6</v>
      </c>
      <c r="AV147" s="33">
        <f t="shared" si="167"/>
        <v>0</v>
      </c>
      <c r="AW147" s="33">
        <f t="shared" si="168"/>
        <v>0</v>
      </c>
      <c r="AX147" s="33">
        <f t="shared" si="169"/>
        <v>0</v>
      </c>
      <c r="AY147" s="34" t="s">
        <v>573</v>
      </c>
      <c r="AZ147" s="34" t="s">
        <v>593</v>
      </c>
      <c r="BA147" s="25" t="s">
        <v>602</v>
      </c>
      <c r="BC147" s="33">
        <f t="shared" si="170"/>
        <v>0</v>
      </c>
      <c r="BD147" s="33">
        <f t="shared" si="171"/>
        <v>0</v>
      </c>
      <c r="BE147" s="33">
        <v>0</v>
      </c>
      <c r="BF147" s="33">
        <f t="shared" si="172"/>
        <v>0</v>
      </c>
      <c r="BH147" s="18">
        <f t="shared" si="173"/>
        <v>0</v>
      </c>
      <c r="BI147" s="18">
        <f t="shared" si="174"/>
        <v>0</v>
      </c>
      <c r="BJ147" s="18">
        <f t="shared" si="175"/>
        <v>0</v>
      </c>
    </row>
    <row r="148" spans="1:62" ht="12.75">
      <c r="A148" s="86" t="s">
        <v>121</v>
      </c>
      <c r="B148" s="86" t="s">
        <v>199</v>
      </c>
      <c r="C148" s="86" t="s">
        <v>229</v>
      </c>
      <c r="D148" s="86" t="s">
        <v>381</v>
      </c>
      <c r="E148" s="86" t="s">
        <v>530</v>
      </c>
      <c r="F148" s="87">
        <v>90.75</v>
      </c>
      <c r="G148" s="87"/>
      <c r="H148" s="87">
        <f t="shared" si="152"/>
        <v>0</v>
      </c>
      <c r="I148" s="87">
        <f t="shared" si="153"/>
        <v>0</v>
      </c>
      <c r="J148" s="87">
        <f t="shared" si="154"/>
        <v>0</v>
      </c>
      <c r="K148" s="88">
        <f>IF(J250=0,0,J148/J250)</f>
        <v>0</v>
      </c>
      <c r="L148" s="87">
        <v>0</v>
      </c>
      <c r="M148" s="87">
        <f t="shared" si="155"/>
        <v>0</v>
      </c>
      <c r="N148" s="89" t="s">
        <v>559</v>
      </c>
      <c r="Z148" s="33">
        <f t="shared" si="156"/>
        <v>0</v>
      </c>
      <c r="AB148" s="33">
        <f t="shared" si="157"/>
        <v>0</v>
      </c>
      <c r="AC148" s="33">
        <f t="shared" si="158"/>
        <v>0</v>
      </c>
      <c r="AD148" s="33">
        <f t="shared" si="159"/>
        <v>0</v>
      </c>
      <c r="AE148" s="33">
        <f t="shared" si="160"/>
        <v>0</v>
      </c>
      <c r="AF148" s="33">
        <f t="shared" si="161"/>
        <v>0</v>
      </c>
      <c r="AG148" s="33">
        <f t="shared" si="162"/>
        <v>0</v>
      </c>
      <c r="AH148" s="33">
        <f t="shared" si="163"/>
        <v>0</v>
      </c>
      <c r="AI148" s="25" t="s">
        <v>199</v>
      </c>
      <c r="AJ148" s="18">
        <f t="shared" si="164"/>
        <v>0</v>
      </c>
      <c r="AK148" s="18">
        <f t="shared" si="165"/>
        <v>0</v>
      </c>
      <c r="AL148" s="18">
        <f t="shared" si="166"/>
        <v>0</v>
      </c>
      <c r="AN148" s="33">
        <v>21</v>
      </c>
      <c r="AO148" s="33">
        <f>G148*0</f>
        <v>0</v>
      </c>
      <c r="AP148" s="33">
        <f>G148*(1-0)</f>
        <v>0</v>
      </c>
      <c r="AQ148" s="30" t="s">
        <v>6</v>
      </c>
      <c r="AV148" s="33">
        <f t="shared" si="167"/>
        <v>0</v>
      </c>
      <c r="AW148" s="33">
        <f t="shared" si="168"/>
        <v>0</v>
      </c>
      <c r="AX148" s="33">
        <f t="shared" si="169"/>
        <v>0</v>
      </c>
      <c r="AY148" s="34" t="s">
        <v>573</v>
      </c>
      <c r="AZ148" s="34" t="s">
        <v>593</v>
      </c>
      <c r="BA148" s="25" t="s">
        <v>602</v>
      </c>
      <c r="BC148" s="33">
        <f t="shared" si="170"/>
        <v>0</v>
      </c>
      <c r="BD148" s="33">
        <f t="shared" si="171"/>
        <v>0</v>
      </c>
      <c r="BE148" s="33">
        <v>0</v>
      </c>
      <c r="BF148" s="33">
        <f t="shared" si="172"/>
        <v>0</v>
      </c>
      <c r="BH148" s="18">
        <f t="shared" si="173"/>
        <v>0</v>
      </c>
      <c r="BI148" s="18">
        <f t="shared" si="174"/>
        <v>0</v>
      </c>
      <c r="BJ148" s="18">
        <f t="shared" si="175"/>
        <v>0</v>
      </c>
    </row>
    <row r="149" spans="1:62" ht="12.75">
      <c r="A149" s="86" t="s">
        <v>122</v>
      </c>
      <c r="B149" s="86" t="s">
        <v>199</v>
      </c>
      <c r="C149" s="86" t="s">
        <v>230</v>
      </c>
      <c r="D149" s="86" t="s">
        <v>382</v>
      </c>
      <c r="E149" s="86" t="s">
        <v>526</v>
      </c>
      <c r="F149" s="87">
        <v>36.3</v>
      </c>
      <c r="G149" s="87"/>
      <c r="H149" s="87">
        <f t="shared" si="152"/>
        <v>0</v>
      </c>
      <c r="I149" s="87">
        <f t="shared" si="153"/>
        <v>0</v>
      </c>
      <c r="J149" s="87">
        <f t="shared" si="154"/>
        <v>0</v>
      </c>
      <c r="K149" s="88">
        <f>IF(J250=0,0,J149/J250)</f>
        <v>0</v>
      </c>
      <c r="L149" s="87">
        <v>0.02478</v>
      </c>
      <c r="M149" s="87">
        <f t="shared" si="155"/>
        <v>0.8995139999999999</v>
      </c>
      <c r="N149" s="89" t="s">
        <v>559</v>
      </c>
      <c r="Z149" s="33">
        <f t="shared" si="156"/>
        <v>0</v>
      </c>
      <c r="AB149" s="33">
        <f t="shared" si="157"/>
        <v>0</v>
      </c>
      <c r="AC149" s="33">
        <f t="shared" si="158"/>
        <v>0</v>
      </c>
      <c r="AD149" s="33">
        <f t="shared" si="159"/>
        <v>0</v>
      </c>
      <c r="AE149" s="33">
        <f t="shared" si="160"/>
        <v>0</v>
      </c>
      <c r="AF149" s="33">
        <f t="shared" si="161"/>
        <v>0</v>
      </c>
      <c r="AG149" s="33">
        <f t="shared" si="162"/>
        <v>0</v>
      </c>
      <c r="AH149" s="33">
        <f t="shared" si="163"/>
        <v>0</v>
      </c>
      <c r="AI149" s="25" t="s">
        <v>199</v>
      </c>
      <c r="AJ149" s="18">
        <f t="shared" si="164"/>
        <v>0</v>
      </c>
      <c r="AK149" s="18">
        <f t="shared" si="165"/>
        <v>0</v>
      </c>
      <c r="AL149" s="18">
        <f t="shared" si="166"/>
        <v>0</v>
      </c>
      <c r="AN149" s="33">
        <v>21</v>
      </c>
      <c r="AO149" s="33">
        <f>G149*0.290776698113207</f>
        <v>0</v>
      </c>
      <c r="AP149" s="33">
        <f>G149*(1-0.290776698113207)</f>
        <v>0</v>
      </c>
      <c r="AQ149" s="30" t="s">
        <v>6</v>
      </c>
      <c r="AV149" s="33">
        <f t="shared" si="167"/>
        <v>0</v>
      </c>
      <c r="AW149" s="33">
        <f t="shared" si="168"/>
        <v>0</v>
      </c>
      <c r="AX149" s="33">
        <f t="shared" si="169"/>
        <v>0</v>
      </c>
      <c r="AY149" s="34" t="s">
        <v>573</v>
      </c>
      <c r="AZ149" s="34" t="s">
        <v>593</v>
      </c>
      <c r="BA149" s="25" t="s">
        <v>602</v>
      </c>
      <c r="BC149" s="33">
        <f t="shared" si="170"/>
        <v>0</v>
      </c>
      <c r="BD149" s="33">
        <f t="shared" si="171"/>
        <v>0</v>
      </c>
      <c r="BE149" s="33">
        <v>0</v>
      </c>
      <c r="BF149" s="33">
        <f t="shared" si="172"/>
        <v>0.8995139999999999</v>
      </c>
      <c r="BH149" s="18">
        <f t="shared" si="173"/>
        <v>0</v>
      </c>
      <c r="BI149" s="18">
        <f t="shared" si="174"/>
        <v>0</v>
      </c>
      <c r="BJ149" s="18">
        <f t="shared" si="175"/>
        <v>0</v>
      </c>
    </row>
    <row r="150" spans="1:62" ht="12.75">
      <c r="A150" s="86" t="s">
        <v>123</v>
      </c>
      <c r="B150" s="86" t="s">
        <v>199</v>
      </c>
      <c r="C150" s="86" t="s">
        <v>231</v>
      </c>
      <c r="D150" s="86" t="s">
        <v>383</v>
      </c>
      <c r="E150" s="86" t="s">
        <v>526</v>
      </c>
      <c r="F150" s="87">
        <v>26.4</v>
      </c>
      <c r="G150" s="87"/>
      <c r="H150" s="87">
        <f t="shared" si="152"/>
        <v>0</v>
      </c>
      <c r="I150" s="87">
        <f t="shared" si="153"/>
        <v>0</v>
      </c>
      <c r="J150" s="87">
        <f t="shared" si="154"/>
        <v>0</v>
      </c>
      <c r="K150" s="88">
        <f>IF(J250=0,0,J150/J250)</f>
        <v>0</v>
      </c>
      <c r="L150" s="87">
        <v>0.01271</v>
      </c>
      <c r="M150" s="87">
        <f t="shared" si="155"/>
        <v>0.335544</v>
      </c>
      <c r="N150" s="89" t="s">
        <v>559</v>
      </c>
      <c r="Z150" s="33">
        <f t="shared" si="156"/>
        <v>0</v>
      </c>
      <c r="AB150" s="33">
        <f t="shared" si="157"/>
        <v>0</v>
      </c>
      <c r="AC150" s="33">
        <f t="shared" si="158"/>
        <v>0</v>
      </c>
      <c r="AD150" s="33">
        <f t="shared" si="159"/>
        <v>0</v>
      </c>
      <c r="AE150" s="33">
        <f t="shared" si="160"/>
        <v>0</v>
      </c>
      <c r="AF150" s="33">
        <f t="shared" si="161"/>
        <v>0</v>
      </c>
      <c r="AG150" s="33">
        <f t="shared" si="162"/>
        <v>0</v>
      </c>
      <c r="AH150" s="33">
        <f t="shared" si="163"/>
        <v>0</v>
      </c>
      <c r="AI150" s="25" t="s">
        <v>199</v>
      </c>
      <c r="AJ150" s="18">
        <f t="shared" si="164"/>
        <v>0</v>
      </c>
      <c r="AK150" s="18">
        <f t="shared" si="165"/>
        <v>0</v>
      </c>
      <c r="AL150" s="18">
        <f t="shared" si="166"/>
        <v>0</v>
      </c>
      <c r="AN150" s="33">
        <v>21</v>
      </c>
      <c r="AO150" s="33">
        <f>G150*0.257136505908655</f>
        <v>0</v>
      </c>
      <c r="AP150" s="33">
        <f>G150*(1-0.257136505908655)</f>
        <v>0</v>
      </c>
      <c r="AQ150" s="30" t="s">
        <v>6</v>
      </c>
      <c r="AV150" s="33">
        <f t="shared" si="167"/>
        <v>0</v>
      </c>
      <c r="AW150" s="33">
        <f t="shared" si="168"/>
        <v>0</v>
      </c>
      <c r="AX150" s="33">
        <f t="shared" si="169"/>
        <v>0</v>
      </c>
      <c r="AY150" s="34" t="s">
        <v>573</v>
      </c>
      <c r="AZ150" s="34" t="s">
        <v>593</v>
      </c>
      <c r="BA150" s="25" t="s">
        <v>602</v>
      </c>
      <c r="BC150" s="33">
        <f t="shared" si="170"/>
        <v>0</v>
      </c>
      <c r="BD150" s="33">
        <f t="shared" si="171"/>
        <v>0</v>
      </c>
      <c r="BE150" s="33">
        <v>0</v>
      </c>
      <c r="BF150" s="33">
        <f t="shared" si="172"/>
        <v>0.335544</v>
      </c>
      <c r="BH150" s="18">
        <f t="shared" si="173"/>
        <v>0</v>
      </c>
      <c r="BI150" s="18">
        <f t="shared" si="174"/>
        <v>0</v>
      </c>
      <c r="BJ150" s="18">
        <f t="shared" si="175"/>
        <v>0</v>
      </c>
    </row>
    <row r="151" spans="1:62" ht="12.75">
      <c r="A151" s="86" t="s">
        <v>124</v>
      </c>
      <c r="B151" s="86" t="s">
        <v>199</v>
      </c>
      <c r="C151" s="86" t="s">
        <v>232</v>
      </c>
      <c r="D151" s="86" t="s">
        <v>384</v>
      </c>
      <c r="E151" s="86" t="s">
        <v>526</v>
      </c>
      <c r="F151" s="87">
        <v>26.4</v>
      </c>
      <c r="G151" s="87"/>
      <c r="H151" s="87">
        <f t="shared" si="152"/>
        <v>0</v>
      </c>
      <c r="I151" s="87">
        <f t="shared" si="153"/>
        <v>0</v>
      </c>
      <c r="J151" s="87">
        <f t="shared" si="154"/>
        <v>0</v>
      </c>
      <c r="K151" s="88">
        <f>IF(J250=0,0,J151/J250)</f>
        <v>0</v>
      </c>
      <c r="L151" s="87">
        <v>0.0107</v>
      </c>
      <c r="M151" s="87">
        <f t="shared" si="155"/>
        <v>0.28247999999999995</v>
      </c>
      <c r="N151" s="89" t="s">
        <v>559</v>
      </c>
      <c r="Z151" s="33">
        <f t="shared" si="156"/>
        <v>0</v>
      </c>
      <c r="AB151" s="33">
        <f t="shared" si="157"/>
        <v>0</v>
      </c>
      <c r="AC151" s="33">
        <f t="shared" si="158"/>
        <v>0</v>
      </c>
      <c r="AD151" s="33">
        <f t="shared" si="159"/>
        <v>0</v>
      </c>
      <c r="AE151" s="33">
        <f t="shared" si="160"/>
        <v>0</v>
      </c>
      <c r="AF151" s="33">
        <f t="shared" si="161"/>
        <v>0</v>
      </c>
      <c r="AG151" s="33">
        <f t="shared" si="162"/>
        <v>0</v>
      </c>
      <c r="AH151" s="33">
        <f t="shared" si="163"/>
        <v>0</v>
      </c>
      <c r="AI151" s="25" t="s">
        <v>199</v>
      </c>
      <c r="AJ151" s="18">
        <f t="shared" si="164"/>
        <v>0</v>
      </c>
      <c r="AK151" s="18">
        <f t="shared" si="165"/>
        <v>0</v>
      </c>
      <c r="AL151" s="18">
        <f t="shared" si="166"/>
        <v>0</v>
      </c>
      <c r="AN151" s="33">
        <v>21</v>
      </c>
      <c r="AO151" s="33">
        <f>G151*0.270027301029776</f>
        <v>0</v>
      </c>
      <c r="AP151" s="33">
        <f>G151*(1-0.270027301029776)</f>
        <v>0</v>
      </c>
      <c r="AQ151" s="30" t="s">
        <v>6</v>
      </c>
      <c r="AV151" s="33">
        <f t="shared" si="167"/>
        <v>0</v>
      </c>
      <c r="AW151" s="33">
        <f t="shared" si="168"/>
        <v>0</v>
      </c>
      <c r="AX151" s="33">
        <f t="shared" si="169"/>
        <v>0</v>
      </c>
      <c r="AY151" s="34" t="s">
        <v>573</v>
      </c>
      <c r="AZ151" s="34" t="s">
        <v>593</v>
      </c>
      <c r="BA151" s="25" t="s">
        <v>602</v>
      </c>
      <c r="BC151" s="33">
        <f t="shared" si="170"/>
        <v>0</v>
      </c>
      <c r="BD151" s="33">
        <f t="shared" si="171"/>
        <v>0</v>
      </c>
      <c r="BE151" s="33">
        <v>0</v>
      </c>
      <c r="BF151" s="33">
        <f t="shared" si="172"/>
        <v>0.28247999999999995</v>
      </c>
      <c r="BH151" s="18">
        <f t="shared" si="173"/>
        <v>0</v>
      </c>
      <c r="BI151" s="18">
        <f t="shared" si="174"/>
        <v>0</v>
      </c>
      <c r="BJ151" s="18">
        <f t="shared" si="175"/>
        <v>0</v>
      </c>
    </row>
    <row r="152" spans="1:62" ht="12.75">
      <c r="A152" s="86" t="s">
        <v>125</v>
      </c>
      <c r="B152" s="86" t="s">
        <v>199</v>
      </c>
      <c r="C152" s="86" t="s">
        <v>233</v>
      </c>
      <c r="D152" s="86" t="s">
        <v>385</v>
      </c>
      <c r="E152" s="86" t="s">
        <v>531</v>
      </c>
      <c r="F152" s="87">
        <v>22.7375</v>
      </c>
      <c r="G152" s="87"/>
      <c r="H152" s="87">
        <f t="shared" si="152"/>
        <v>0</v>
      </c>
      <c r="I152" s="87">
        <f t="shared" si="153"/>
        <v>0</v>
      </c>
      <c r="J152" s="87">
        <f t="shared" si="154"/>
        <v>0</v>
      </c>
      <c r="K152" s="88">
        <f>IF(J250=0,0,J152/J250)</f>
        <v>0</v>
      </c>
      <c r="L152" s="87">
        <v>0</v>
      </c>
      <c r="M152" s="87">
        <f t="shared" si="155"/>
        <v>0</v>
      </c>
      <c r="N152" s="89" t="s">
        <v>559</v>
      </c>
      <c r="Z152" s="33">
        <f t="shared" si="156"/>
        <v>0</v>
      </c>
      <c r="AB152" s="33">
        <f t="shared" si="157"/>
        <v>0</v>
      </c>
      <c r="AC152" s="33">
        <f t="shared" si="158"/>
        <v>0</v>
      </c>
      <c r="AD152" s="33">
        <f t="shared" si="159"/>
        <v>0</v>
      </c>
      <c r="AE152" s="33">
        <f t="shared" si="160"/>
        <v>0</v>
      </c>
      <c r="AF152" s="33">
        <f t="shared" si="161"/>
        <v>0</v>
      </c>
      <c r="AG152" s="33">
        <f t="shared" si="162"/>
        <v>0</v>
      </c>
      <c r="AH152" s="33">
        <f t="shared" si="163"/>
        <v>0</v>
      </c>
      <c r="AI152" s="25" t="s">
        <v>199</v>
      </c>
      <c r="AJ152" s="18">
        <f t="shared" si="164"/>
        <v>0</v>
      </c>
      <c r="AK152" s="18">
        <f t="shared" si="165"/>
        <v>0</v>
      </c>
      <c r="AL152" s="18">
        <f t="shared" si="166"/>
        <v>0</v>
      </c>
      <c r="AN152" s="33">
        <v>21</v>
      </c>
      <c r="AO152" s="33">
        <f>G152*0</f>
        <v>0</v>
      </c>
      <c r="AP152" s="33">
        <f>G152*(1-0)</f>
        <v>0</v>
      </c>
      <c r="AQ152" s="30" t="s">
        <v>6</v>
      </c>
      <c r="AV152" s="33">
        <f t="shared" si="167"/>
        <v>0</v>
      </c>
      <c r="AW152" s="33">
        <f t="shared" si="168"/>
        <v>0</v>
      </c>
      <c r="AX152" s="33">
        <f t="shared" si="169"/>
        <v>0</v>
      </c>
      <c r="AY152" s="34" t="s">
        <v>573</v>
      </c>
      <c r="AZ152" s="34" t="s">
        <v>593</v>
      </c>
      <c r="BA152" s="25" t="s">
        <v>602</v>
      </c>
      <c r="BC152" s="33">
        <f t="shared" si="170"/>
        <v>0</v>
      </c>
      <c r="BD152" s="33">
        <f t="shared" si="171"/>
        <v>0</v>
      </c>
      <c r="BE152" s="33">
        <v>0</v>
      </c>
      <c r="BF152" s="33">
        <f t="shared" si="172"/>
        <v>0</v>
      </c>
      <c r="BH152" s="18">
        <f t="shared" si="173"/>
        <v>0</v>
      </c>
      <c r="BI152" s="18">
        <f t="shared" si="174"/>
        <v>0</v>
      </c>
      <c r="BJ152" s="18">
        <f t="shared" si="175"/>
        <v>0</v>
      </c>
    </row>
    <row r="153" spans="1:62" ht="12.75">
      <c r="A153" s="86" t="s">
        <v>126</v>
      </c>
      <c r="B153" s="86" t="s">
        <v>199</v>
      </c>
      <c r="C153" s="86" t="s">
        <v>234</v>
      </c>
      <c r="D153" s="86" t="s">
        <v>444</v>
      </c>
      <c r="E153" s="86" t="s">
        <v>532</v>
      </c>
      <c r="F153" s="87">
        <v>181.9</v>
      </c>
      <c r="G153" s="87"/>
      <c r="H153" s="87">
        <f t="shared" si="152"/>
        <v>0</v>
      </c>
      <c r="I153" s="87">
        <f t="shared" si="153"/>
        <v>0</v>
      </c>
      <c r="J153" s="87">
        <f t="shared" si="154"/>
        <v>0</v>
      </c>
      <c r="K153" s="88">
        <f>IF(J250=0,0,J153/J250)</f>
        <v>0</v>
      </c>
      <c r="L153" s="87">
        <v>0</v>
      </c>
      <c r="M153" s="87">
        <f t="shared" si="155"/>
        <v>0</v>
      </c>
      <c r="N153" s="89" t="s">
        <v>559</v>
      </c>
      <c r="Z153" s="33">
        <f t="shared" si="156"/>
        <v>0</v>
      </c>
      <c r="AB153" s="33">
        <f t="shared" si="157"/>
        <v>0</v>
      </c>
      <c r="AC153" s="33">
        <f t="shared" si="158"/>
        <v>0</v>
      </c>
      <c r="AD153" s="33">
        <f t="shared" si="159"/>
        <v>0</v>
      </c>
      <c r="AE153" s="33">
        <f t="shared" si="160"/>
        <v>0</v>
      </c>
      <c r="AF153" s="33">
        <f t="shared" si="161"/>
        <v>0</v>
      </c>
      <c r="AG153" s="33">
        <f t="shared" si="162"/>
        <v>0</v>
      </c>
      <c r="AH153" s="33">
        <f t="shared" si="163"/>
        <v>0</v>
      </c>
      <c r="AI153" s="25" t="s">
        <v>199</v>
      </c>
      <c r="AJ153" s="18">
        <f t="shared" si="164"/>
        <v>0</v>
      </c>
      <c r="AK153" s="18">
        <f t="shared" si="165"/>
        <v>0</v>
      </c>
      <c r="AL153" s="18">
        <f t="shared" si="166"/>
        <v>0</v>
      </c>
      <c r="AN153" s="33">
        <v>21</v>
      </c>
      <c r="AO153" s="33">
        <f>G153*0</f>
        <v>0</v>
      </c>
      <c r="AP153" s="33">
        <f>G153*(1-0)</f>
        <v>0</v>
      </c>
      <c r="AQ153" s="30" t="s">
        <v>6</v>
      </c>
      <c r="AV153" s="33">
        <f t="shared" si="167"/>
        <v>0</v>
      </c>
      <c r="AW153" s="33">
        <f t="shared" si="168"/>
        <v>0</v>
      </c>
      <c r="AX153" s="33">
        <f t="shared" si="169"/>
        <v>0</v>
      </c>
      <c r="AY153" s="34" t="s">
        <v>573</v>
      </c>
      <c r="AZ153" s="34" t="s">
        <v>593</v>
      </c>
      <c r="BA153" s="25" t="s">
        <v>602</v>
      </c>
      <c r="BC153" s="33">
        <f t="shared" si="170"/>
        <v>0</v>
      </c>
      <c r="BD153" s="33">
        <f t="shared" si="171"/>
        <v>0</v>
      </c>
      <c r="BE153" s="33">
        <v>0</v>
      </c>
      <c r="BF153" s="33">
        <f t="shared" si="172"/>
        <v>0</v>
      </c>
      <c r="BH153" s="18">
        <f t="shared" si="173"/>
        <v>0</v>
      </c>
      <c r="BI153" s="18">
        <f t="shared" si="174"/>
        <v>0</v>
      </c>
      <c r="BJ153" s="18">
        <f t="shared" si="175"/>
        <v>0</v>
      </c>
    </row>
    <row r="154" spans="1:47" ht="12.75">
      <c r="A154" s="90"/>
      <c r="B154" s="91" t="s">
        <v>199</v>
      </c>
      <c r="C154" s="91" t="s">
        <v>8</v>
      </c>
      <c r="D154" s="91" t="s">
        <v>387</v>
      </c>
      <c r="E154" s="90" t="s">
        <v>5</v>
      </c>
      <c r="F154" s="90" t="s">
        <v>5</v>
      </c>
      <c r="G154" s="90"/>
      <c r="H154" s="92">
        <f>SUM(H155:H189)</f>
        <v>0</v>
      </c>
      <c r="I154" s="92">
        <f>SUM(I155:I189)</f>
        <v>0</v>
      </c>
      <c r="J154" s="92">
        <f>SUM(J155:J189)</f>
        <v>0</v>
      </c>
      <c r="K154" s="93">
        <f>IF(J250=0,0,J154/J250)</f>
        <v>0</v>
      </c>
      <c r="L154" s="94"/>
      <c r="M154" s="92">
        <f>SUM(M155:M189)</f>
        <v>1326.0825570999998</v>
      </c>
      <c r="N154" s="94"/>
      <c r="AI154" s="25" t="s">
        <v>199</v>
      </c>
      <c r="AS154" s="36">
        <f>SUM(AJ155:AJ189)</f>
        <v>0</v>
      </c>
      <c r="AT154" s="36">
        <f>SUM(AK155:AK189)</f>
        <v>0</v>
      </c>
      <c r="AU154" s="36">
        <f>SUM(AL155:AL189)</f>
        <v>0</v>
      </c>
    </row>
    <row r="155" spans="1:62" ht="12.75">
      <c r="A155" s="82" t="s">
        <v>127</v>
      </c>
      <c r="B155" s="82" t="s">
        <v>199</v>
      </c>
      <c r="C155" s="82" t="s">
        <v>285</v>
      </c>
      <c r="D155" s="82" t="s">
        <v>445</v>
      </c>
      <c r="E155" s="82" t="s">
        <v>526</v>
      </c>
      <c r="F155" s="83">
        <v>20.3</v>
      </c>
      <c r="G155" s="83"/>
      <c r="H155" s="83">
        <f aca="true" t="shared" si="176" ref="H155:H161">F155*AO155</f>
        <v>0</v>
      </c>
      <c r="I155" s="83">
        <f aca="true" t="shared" si="177" ref="I155:I161">F155*AP155</f>
        <v>0</v>
      </c>
      <c r="J155" s="83">
        <f aca="true" t="shared" si="178" ref="J155:J161">F155*G155</f>
        <v>0</v>
      </c>
      <c r="K155" s="84">
        <f>IF(J250=0,0,J155/J250)</f>
        <v>0</v>
      </c>
      <c r="L155" s="83">
        <v>1.39</v>
      </c>
      <c r="M155" s="83">
        <f aca="true" t="shared" si="179" ref="M155:M161">F155*L155</f>
        <v>28.217</v>
      </c>
      <c r="N155" s="85"/>
      <c r="Z155" s="33">
        <f aca="true" t="shared" si="180" ref="Z155:Z161">IF(AQ155="5",BJ155,0)</f>
        <v>0</v>
      </c>
      <c r="AB155" s="33">
        <f aca="true" t="shared" si="181" ref="AB155:AB161">IF(AQ155="1",BH155,0)</f>
        <v>0</v>
      </c>
      <c r="AC155" s="33">
        <f aca="true" t="shared" si="182" ref="AC155:AC161">IF(AQ155="1",BI155,0)</f>
        <v>0</v>
      </c>
      <c r="AD155" s="33">
        <f aca="true" t="shared" si="183" ref="AD155:AD161">IF(AQ155="7",BH155,0)</f>
        <v>0</v>
      </c>
      <c r="AE155" s="33">
        <f aca="true" t="shared" si="184" ref="AE155:AE161">IF(AQ155="7",BI155,0)</f>
        <v>0</v>
      </c>
      <c r="AF155" s="33">
        <f aca="true" t="shared" si="185" ref="AF155:AF161">IF(AQ155="2",BH155,0)</f>
        <v>0</v>
      </c>
      <c r="AG155" s="33">
        <f aca="true" t="shared" si="186" ref="AG155:AG161">IF(AQ155="2",BI155,0)</f>
        <v>0</v>
      </c>
      <c r="AH155" s="33">
        <f aca="true" t="shared" si="187" ref="AH155:AH161">IF(AQ155="0",BJ155,0)</f>
        <v>0</v>
      </c>
      <c r="AI155" s="25" t="s">
        <v>199</v>
      </c>
      <c r="AJ155" s="17">
        <f aca="true" t="shared" si="188" ref="AJ155:AJ161">IF(AN155=0,J155,0)</f>
        <v>0</v>
      </c>
      <c r="AK155" s="17">
        <f aca="true" t="shared" si="189" ref="AK155:AK161">IF(AN155=15,J155,0)</f>
        <v>0</v>
      </c>
      <c r="AL155" s="17">
        <f aca="true" t="shared" si="190" ref="AL155:AL161">IF(AN155=21,J155,0)</f>
        <v>0</v>
      </c>
      <c r="AN155" s="33">
        <v>21</v>
      </c>
      <c r="AO155" s="33">
        <f>G155*1</f>
        <v>0</v>
      </c>
      <c r="AP155" s="33">
        <f>G155*(1-1)</f>
        <v>0</v>
      </c>
      <c r="AQ155" s="29" t="s">
        <v>6</v>
      </c>
      <c r="AV155" s="33">
        <f aca="true" t="shared" si="191" ref="AV155:AV161">AW155+AX155</f>
        <v>0</v>
      </c>
      <c r="AW155" s="33">
        <f aca="true" t="shared" si="192" ref="AW155:AW161">F155*AO155</f>
        <v>0</v>
      </c>
      <c r="AX155" s="33">
        <f aca="true" t="shared" si="193" ref="AX155:AX161">F155*AP155</f>
        <v>0</v>
      </c>
      <c r="AY155" s="34" t="s">
        <v>574</v>
      </c>
      <c r="AZ155" s="34" t="s">
        <v>594</v>
      </c>
      <c r="BA155" s="25" t="s">
        <v>602</v>
      </c>
      <c r="BC155" s="33">
        <f aca="true" t="shared" si="194" ref="BC155:BC161">AW155+AX155</f>
        <v>0</v>
      </c>
      <c r="BD155" s="33">
        <f aca="true" t="shared" si="195" ref="BD155:BD161">G155/(100-BE155)*100</f>
        <v>0</v>
      </c>
      <c r="BE155" s="33">
        <v>0</v>
      </c>
      <c r="BF155" s="33">
        <f aca="true" t="shared" si="196" ref="BF155:BF161">M155</f>
        <v>28.217</v>
      </c>
      <c r="BH155" s="17">
        <f aca="true" t="shared" si="197" ref="BH155:BH161">F155*AO155</f>
        <v>0</v>
      </c>
      <c r="BI155" s="17">
        <f aca="true" t="shared" si="198" ref="BI155:BI161">F155*AP155</f>
        <v>0</v>
      </c>
      <c r="BJ155" s="17">
        <f aca="true" t="shared" si="199" ref="BJ155:BJ161">F155*G155</f>
        <v>0</v>
      </c>
    </row>
    <row r="156" spans="1:62" ht="12.75">
      <c r="A156" s="86" t="s">
        <v>128</v>
      </c>
      <c r="B156" s="86" t="s">
        <v>199</v>
      </c>
      <c r="C156" s="86" t="s">
        <v>286</v>
      </c>
      <c r="D156" s="86" t="s">
        <v>446</v>
      </c>
      <c r="E156" s="86" t="s">
        <v>526</v>
      </c>
      <c r="F156" s="87">
        <v>184.22</v>
      </c>
      <c r="G156" s="87"/>
      <c r="H156" s="87">
        <f t="shared" si="176"/>
        <v>0</v>
      </c>
      <c r="I156" s="87">
        <f t="shared" si="177"/>
        <v>0</v>
      </c>
      <c r="J156" s="87">
        <f t="shared" si="178"/>
        <v>0</v>
      </c>
      <c r="K156" s="88">
        <f>IF(J250=0,0,J156/J250)</f>
        <v>0</v>
      </c>
      <c r="L156" s="87">
        <v>0.05121</v>
      </c>
      <c r="M156" s="87">
        <f t="shared" si="179"/>
        <v>9.4339062</v>
      </c>
      <c r="N156" s="89" t="s">
        <v>559</v>
      </c>
      <c r="Z156" s="33">
        <f t="shared" si="180"/>
        <v>0</v>
      </c>
      <c r="AB156" s="33">
        <f t="shared" si="181"/>
        <v>0</v>
      </c>
      <c r="AC156" s="33">
        <f t="shared" si="182"/>
        <v>0</v>
      </c>
      <c r="AD156" s="33">
        <f t="shared" si="183"/>
        <v>0</v>
      </c>
      <c r="AE156" s="33">
        <f t="shared" si="184"/>
        <v>0</v>
      </c>
      <c r="AF156" s="33">
        <f t="shared" si="185"/>
        <v>0</v>
      </c>
      <c r="AG156" s="33">
        <f t="shared" si="186"/>
        <v>0</v>
      </c>
      <c r="AH156" s="33">
        <f t="shared" si="187"/>
        <v>0</v>
      </c>
      <c r="AI156" s="25" t="s">
        <v>199</v>
      </c>
      <c r="AJ156" s="18">
        <f t="shared" si="188"/>
        <v>0</v>
      </c>
      <c r="AK156" s="18">
        <f t="shared" si="189"/>
        <v>0</v>
      </c>
      <c r="AL156" s="18">
        <f t="shared" si="190"/>
        <v>0</v>
      </c>
      <c r="AN156" s="33">
        <v>21</v>
      </c>
      <c r="AO156" s="33">
        <f>G156*0</f>
        <v>0</v>
      </c>
      <c r="AP156" s="33">
        <f>G156*(1-0)</f>
        <v>0</v>
      </c>
      <c r="AQ156" s="30" t="s">
        <v>6</v>
      </c>
      <c r="AV156" s="33">
        <f t="shared" si="191"/>
        <v>0</v>
      </c>
      <c r="AW156" s="33">
        <f t="shared" si="192"/>
        <v>0</v>
      </c>
      <c r="AX156" s="33">
        <f t="shared" si="193"/>
        <v>0</v>
      </c>
      <c r="AY156" s="34" t="s">
        <v>574</v>
      </c>
      <c r="AZ156" s="34" t="s">
        <v>594</v>
      </c>
      <c r="BA156" s="25" t="s">
        <v>602</v>
      </c>
      <c r="BC156" s="33">
        <f t="shared" si="194"/>
        <v>0</v>
      </c>
      <c r="BD156" s="33">
        <f t="shared" si="195"/>
        <v>0</v>
      </c>
      <c r="BE156" s="33">
        <v>0</v>
      </c>
      <c r="BF156" s="33">
        <f t="shared" si="196"/>
        <v>9.4339062</v>
      </c>
      <c r="BH156" s="18">
        <f t="shared" si="197"/>
        <v>0</v>
      </c>
      <c r="BI156" s="18">
        <f t="shared" si="198"/>
        <v>0</v>
      </c>
      <c r="BJ156" s="18">
        <f t="shared" si="199"/>
        <v>0</v>
      </c>
    </row>
    <row r="157" spans="1:62" ht="12.75">
      <c r="A157" s="86" t="s">
        <v>129</v>
      </c>
      <c r="B157" s="86" t="s">
        <v>199</v>
      </c>
      <c r="C157" s="86" t="s">
        <v>287</v>
      </c>
      <c r="D157" s="86" t="s">
        <v>447</v>
      </c>
      <c r="E157" s="86" t="s">
        <v>526</v>
      </c>
      <c r="F157" s="87">
        <v>88.63</v>
      </c>
      <c r="G157" s="87"/>
      <c r="H157" s="87">
        <f t="shared" si="176"/>
        <v>0</v>
      </c>
      <c r="I157" s="87">
        <f t="shared" si="177"/>
        <v>0</v>
      </c>
      <c r="J157" s="87">
        <f t="shared" si="178"/>
        <v>0</v>
      </c>
      <c r="K157" s="88">
        <f>IF(J250=0,0,J157/J250)</f>
        <v>0</v>
      </c>
      <c r="L157" s="87">
        <v>0.0923</v>
      </c>
      <c r="M157" s="87">
        <f t="shared" si="179"/>
        <v>8.180549</v>
      </c>
      <c r="N157" s="89" t="s">
        <v>559</v>
      </c>
      <c r="Z157" s="33">
        <f t="shared" si="180"/>
        <v>0</v>
      </c>
      <c r="AB157" s="33">
        <f t="shared" si="181"/>
        <v>0</v>
      </c>
      <c r="AC157" s="33">
        <f t="shared" si="182"/>
        <v>0</v>
      </c>
      <c r="AD157" s="33">
        <f t="shared" si="183"/>
        <v>0</v>
      </c>
      <c r="AE157" s="33">
        <f t="shared" si="184"/>
        <v>0</v>
      </c>
      <c r="AF157" s="33">
        <f t="shared" si="185"/>
        <v>0</v>
      </c>
      <c r="AG157" s="33">
        <f t="shared" si="186"/>
        <v>0</v>
      </c>
      <c r="AH157" s="33">
        <f t="shared" si="187"/>
        <v>0</v>
      </c>
      <c r="AI157" s="25" t="s">
        <v>199</v>
      </c>
      <c r="AJ157" s="18">
        <f t="shared" si="188"/>
        <v>0</v>
      </c>
      <c r="AK157" s="18">
        <f t="shared" si="189"/>
        <v>0</v>
      </c>
      <c r="AL157" s="18">
        <f t="shared" si="190"/>
        <v>0</v>
      </c>
      <c r="AN157" s="33">
        <v>21</v>
      </c>
      <c r="AO157" s="33">
        <f>G157*0</f>
        <v>0</v>
      </c>
      <c r="AP157" s="33">
        <f>G157*(1-0)</f>
        <v>0</v>
      </c>
      <c r="AQ157" s="30" t="s">
        <v>6</v>
      </c>
      <c r="AV157" s="33">
        <f t="shared" si="191"/>
        <v>0</v>
      </c>
      <c r="AW157" s="33">
        <f t="shared" si="192"/>
        <v>0</v>
      </c>
      <c r="AX157" s="33">
        <f t="shared" si="193"/>
        <v>0</v>
      </c>
      <c r="AY157" s="34" t="s">
        <v>574</v>
      </c>
      <c r="AZ157" s="34" t="s">
        <v>594</v>
      </c>
      <c r="BA157" s="25" t="s">
        <v>602</v>
      </c>
      <c r="BC157" s="33">
        <f t="shared" si="194"/>
        <v>0</v>
      </c>
      <c r="BD157" s="33">
        <f t="shared" si="195"/>
        <v>0</v>
      </c>
      <c r="BE157" s="33">
        <v>0</v>
      </c>
      <c r="BF157" s="33">
        <f t="shared" si="196"/>
        <v>8.180549</v>
      </c>
      <c r="BH157" s="18">
        <f t="shared" si="197"/>
        <v>0</v>
      </c>
      <c r="BI157" s="18">
        <f t="shared" si="198"/>
        <v>0</v>
      </c>
      <c r="BJ157" s="18">
        <f t="shared" si="199"/>
        <v>0</v>
      </c>
    </row>
    <row r="158" spans="1:62" ht="12.75">
      <c r="A158" s="86" t="s">
        <v>130</v>
      </c>
      <c r="B158" s="86" t="s">
        <v>199</v>
      </c>
      <c r="C158" s="86" t="s">
        <v>213</v>
      </c>
      <c r="D158" s="86" t="s">
        <v>361</v>
      </c>
      <c r="E158" s="86" t="s">
        <v>529</v>
      </c>
      <c r="F158" s="87">
        <v>45.8315</v>
      </c>
      <c r="G158" s="87"/>
      <c r="H158" s="87">
        <f t="shared" si="176"/>
        <v>0</v>
      </c>
      <c r="I158" s="87">
        <f t="shared" si="177"/>
        <v>0</v>
      </c>
      <c r="J158" s="87">
        <f t="shared" si="178"/>
        <v>0</v>
      </c>
      <c r="K158" s="88">
        <f>IF(J250=0,0,J158/J250)</f>
        <v>0</v>
      </c>
      <c r="L158" s="87">
        <v>0</v>
      </c>
      <c r="M158" s="87">
        <f t="shared" si="179"/>
        <v>0</v>
      </c>
      <c r="N158" s="89" t="s">
        <v>559</v>
      </c>
      <c r="Z158" s="33">
        <f t="shared" si="180"/>
        <v>0</v>
      </c>
      <c r="AB158" s="33">
        <f t="shared" si="181"/>
        <v>0</v>
      </c>
      <c r="AC158" s="33">
        <f t="shared" si="182"/>
        <v>0</v>
      </c>
      <c r="AD158" s="33">
        <f t="shared" si="183"/>
        <v>0</v>
      </c>
      <c r="AE158" s="33">
        <f t="shared" si="184"/>
        <v>0</v>
      </c>
      <c r="AF158" s="33">
        <f t="shared" si="185"/>
        <v>0</v>
      </c>
      <c r="AG158" s="33">
        <f t="shared" si="186"/>
        <v>0</v>
      </c>
      <c r="AH158" s="33">
        <f t="shared" si="187"/>
        <v>0</v>
      </c>
      <c r="AI158" s="25" t="s">
        <v>199</v>
      </c>
      <c r="AJ158" s="18">
        <f t="shared" si="188"/>
        <v>0</v>
      </c>
      <c r="AK158" s="18">
        <f t="shared" si="189"/>
        <v>0</v>
      </c>
      <c r="AL158" s="18">
        <f t="shared" si="190"/>
        <v>0</v>
      </c>
      <c r="AN158" s="33">
        <v>21</v>
      </c>
      <c r="AO158" s="33">
        <f>G158*0</f>
        <v>0</v>
      </c>
      <c r="AP158" s="33">
        <f>G158*(1-0)</f>
        <v>0</v>
      </c>
      <c r="AQ158" s="30" t="s">
        <v>10</v>
      </c>
      <c r="AV158" s="33">
        <f t="shared" si="191"/>
        <v>0</v>
      </c>
      <c r="AW158" s="33">
        <f t="shared" si="192"/>
        <v>0</v>
      </c>
      <c r="AX158" s="33">
        <f t="shared" si="193"/>
        <v>0</v>
      </c>
      <c r="AY158" s="34" t="s">
        <v>574</v>
      </c>
      <c r="AZ158" s="34" t="s">
        <v>594</v>
      </c>
      <c r="BA158" s="25" t="s">
        <v>602</v>
      </c>
      <c r="BC158" s="33">
        <f t="shared" si="194"/>
        <v>0</v>
      </c>
      <c r="BD158" s="33">
        <f t="shared" si="195"/>
        <v>0</v>
      </c>
      <c r="BE158" s="33">
        <v>0</v>
      </c>
      <c r="BF158" s="33">
        <f t="shared" si="196"/>
        <v>0</v>
      </c>
      <c r="BH158" s="18">
        <f t="shared" si="197"/>
        <v>0</v>
      </c>
      <c r="BI158" s="18">
        <f t="shared" si="198"/>
        <v>0</v>
      </c>
      <c r="BJ158" s="18">
        <f t="shared" si="199"/>
        <v>0</v>
      </c>
    </row>
    <row r="159" spans="1:62" ht="12.75">
      <c r="A159" s="86" t="s">
        <v>131</v>
      </c>
      <c r="B159" s="86" t="s">
        <v>199</v>
      </c>
      <c r="C159" s="86" t="s">
        <v>288</v>
      </c>
      <c r="D159" s="86" t="s">
        <v>448</v>
      </c>
      <c r="E159" s="86" t="s">
        <v>529</v>
      </c>
      <c r="F159" s="87">
        <v>45.8315</v>
      </c>
      <c r="G159" s="87"/>
      <c r="H159" s="87">
        <f t="shared" si="176"/>
        <v>0</v>
      </c>
      <c r="I159" s="87">
        <f t="shared" si="177"/>
        <v>0</v>
      </c>
      <c r="J159" s="87">
        <f t="shared" si="178"/>
        <v>0</v>
      </c>
      <c r="K159" s="88">
        <f>IF(J250=0,0,J159/J250)</f>
        <v>0</v>
      </c>
      <c r="L159" s="87">
        <v>0</v>
      </c>
      <c r="M159" s="87">
        <f t="shared" si="179"/>
        <v>0</v>
      </c>
      <c r="N159" s="89" t="s">
        <v>559</v>
      </c>
      <c r="Z159" s="33">
        <f t="shared" si="180"/>
        <v>0</v>
      </c>
      <c r="AB159" s="33">
        <f t="shared" si="181"/>
        <v>0</v>
      </c>
      <c r="AC159" s="33">
        <f t="shared" si="182"/>
        <v>0</v>
      </c>
      <c r="AD159" s="33">
        <f t="shared" si="183"/>
        <v>0</v>
      </c>
      <c r="AE159" s="33">
        <f t="shared" si="184"/>
        <v>0</v>
      </c>
      <c r="AF159" s="33">
        <f t="shared" si="185"/>
        <v>0</v>
      </c>
      <c r="AG159" s="33">
        <f t="shared" si="186"/>
        <v>0</v>
      </c>
      <c r="AH159" s="33">
        <f t="shared" si="187"/>
        <v>0</v>
      </c>
      <c r="AI159" s="25" t="s">
        <v>199</v>
      </c>
      <c r="AJ159" s="18">
        <f t="shared" si="188"/>
        <v>0</v>
      </c>
      <c r="AK159" s="18">
        <f t="shared" si="189"/>
        <v>0</v>
      </c>
      <c r="AL159" s="18">
        <f t="shared" si="190"/>
        <v>0</v>
      </c>
      <c r="AN159" s="33">
        <v>21</v>
      </c>
      <c r="AO159" s="33">
        <f>G159*0</f>
        <v>0</v>
      </c>
      <c r="AP159" s="33">
        <f>G159*(1-0)</f>
        <v>0</v>
      </c>
      <c r="AQ159" s="30" t="s">
        <v>10</v>
      </c>
      <c r="AV159" s="33">
        <f t="shared" si="191"/>
        <v>0</v>
      </c>
      <c r="AW159" s="33">
        <f t="shared" si="192"/>
        <v>0</v>
      </c>
      <c r="AX159" s="33">
        <f t="shared" si="193"/>
        <v>0</v>
      </c>
      <c r="AY159" s="34" t="s">
        <v>574</v>
      </c>
      <c r="AZ159" s="34" t="s">
        <v>594</v>
      </c>
      <c r="BA159" s="25" t="s">
        <v>602</v>
      </c>
      <c r="BC159" s="33">
        <f t="shared" si="194"/>
        <v>0</v>
      </c>
      <c r="BD159" s="33">
        <f t="shared" si="195"/>
        <v>0</v>
      </c>
      <c r="BE159" s="33">
        <v>0</v>
      </c>
      <c r="BF159" s="33">
        <f t="shared" si="196"/>
        <v>0</v>
      </c>
      <c r="BH159" s="18">
        <f t="shared" si="197"/>
        <v>0</v>
      </c>
      <c r="BI159" s="18">
        <f t="shared" si="198"/>
        <v>0</v>
      </c>
      <c r="BJ159" s="18">
        <f t="shared" si="199"/>
        <v>0</v>
      </c>
    </row>
    <row r="160" spans="1:62" ht="12.75">
      <c r="A160" s="86" t="s">
        <v>132</v>
      </c>
      <c r="B160" s="86" t="s">
        <v>199</v>
      </c>
      <c r="C160" s="86" t="s">
        <v>289</v>
      </c>
      <c r="D160" s="86" t="s">
        <v>449</v>
      </c>
      <c r="E160" s="86" t="s">
        <v>529</v>
      </c>
      <c r="F160" s="87">
        <v>183.326</v>
      </c>
      <c r="G160" s="87"/>
      <c r="H160" s="87">
        <f t="shared" si="176"/>
        <v>0</v>
      </c>
      <c r="I160" s="87">
        <f t="shared" si="177"/>
        <v>0</v>
      </c>
      <c r="J160" s="87">
        <f t="shared" si="178"/>
        <v>0</v>
      </c>
      <c r="K160" s="88">
        <f>IF(J250=0,0,J160/J250)</f>
        <v>0</v>
      </c>
      <c r="L160" s="87">
        <v>0</v>
      </c>
      <c r="M160" s="87">
        <f t="shared" si="179"/>
        <v>0</v>
      </c>
      <c r="N160" s="89" t="s">
        <v>559</v>
      </c>
      <c r="Z160" s="33">
        <f t="shared" si="180"/>
        <v>0</v>
      </c>
      <c r="AB160" s="33">
        <f t="shared" si="181"/>
        <v>0</v>
      </c>
      <c r="AC160" s="33">
        <f t="shared" si="182"/>
        <v>0</v>
      </c>
      <c r="AD160" s="33">
        <f t="shared" si="183"/>
        <v>0</v>
      </c>
      <c r="AE160" s="33">
        <f t="shared" si="184"/>
        <v>0</v>
      </c>
      <c r="AF160" s="33">
        <f t="shared" si="185"/>
        <v>0</v>
      </c>
      <c r="AG160" s="33">
        <f t="shared" si="186"/>
        <v>0</v>
      </c>
      <c r="AH160" s="33">
        <f t="shared" si="187"/>
        <v>0</v>
      </c>
      <c r="AI160" s="25" t="s">
        <v>199</v>
      </c>
      <c r="AJ160" s="18">
        <f t="shared" si="188"/>
        <v>0</v>
      </c>
      <c r="AK160" s="18">
        <f t="shared" si="189"/>
        <v>0</v>
      </c>
      <c r="AL160" s="18">
        <f t="shared" si="190"/>
        <v>0</v>
      </c>
      <c r="AN160" s="33">
        <v>21</v>
      </c>
      <c r="AO160" s="33">
        <f>G160*0</f>
        <v>0</v>
      </c>
      <c r="AP160" s="33">
        <f>G160*(1-0)</f>
        <v>0</v>
      </c>
      <c r="AQ160" s="30" t="s">
        <v>10</v>
      </c>
      <c r="AV160" s="33">
        <f t="shared" si="191"/>
        <v>0</v>
      </c>
      <c r="AW160" s="33">
        <f t="shared" si="192"/>
        <v>0</v>
      </c>
      <c r="AX160" s="33">
        <f t="shared" si="193"/>
        <v>0</v>
      </c>
      <c r="AY160" s="34" t="s">
        <v>574</v>
      </c>
      <c r="AZ160" s="34" t="s">
        <v>594</v>
      </c>
      <c r="BA160" s="25" t="s">
        <v>602</v>
      </c>
      <c r="BC160" s="33">
        <f t="shared" si="194"/>
        <v>0</v>
      </c>
      <c r="BD160" s="33">
        <f t="shared" si="195"/>
        <v>0</v>
      </c>
      <c r="BE160" s="33">
        <v>0</v>
      </c>
      <c r="BF160" s="33">
        <f t="shared" si="196"/>
        <v>0</v>
      </c>
      <c r="BH160" s="18">
        <f t="shared" si="197"/>
        <v>0</v>
      </c>
      <c r="BI160" s="18">
        <f t="shared" si="198"/>
        <v>0</v>
      </c>
      <c r="BJ160" s="18">
        <f t="shared" si="199"/>
        <v>0</v>
      </c>
    </row>
    <row r="161" spans="1:62" ht="12.75">
      <c r="A161" s="86" t="s">
        <v>133</v>
      </c>
      <c r="B161" s="86" t="s">
        <v>199</v>
      </c>
      <c r="C161" s="86" t="s">
        <v>290</v>
      </c>
      <c r="D161" s="86" t="s">
        <v>450</v>
      </c>
      <c r="E161" s="86" t="s">
        <v>526</v>
      </c>
      <c r="F161" s="87">
        <v>184.22</v>
      </c>
      <c r="G161" s="87"/>
      <c r="H161" s="87">
        <f t="shared" si="176"/>
        <v>0</v>
      </c>
      <c r="I161" s="87">
        <f t="shared" si="177"/>
        <v>0</v>
      </c>
      <c r="J161" s="87">
        <f t="shared" si="178"/>
        <v>0</v>
      </c>
      <c r="K161" s="88">
        <f>IF(J250=0,0,J161/J250)</f>
        <v>0</v>
      </c>
      <c r="L161" s="87">
        <v>0.07312</v>
      </c>
      <c r="M161" s="87">
        <f t="shared" si="179"/>
        <v>13.4701664</v>
      </c>
      <c r="N161" s="89" t="s">
        <v>559</v>
      </c>
      <c r="Z161" s="33">
        <f t="shared" si="180"/>
        <v>0</v>
      </c>
      <c r="AB161" s="33">
        <f t="shared" si="181"/>
        <v>0</v>
      </c>
      <c r="AC161" s="33">
        <f t="shared" si="182"/>
        <v>0</v>
      </c>
      <c r="AD161" s="33">
        <f t="shared" si="183"/>
        <v>0</v>
      </c>
      <c r="AE161" s="33">
        <f t="shared" si="184"/>
        <v>0</v>
      </c>
      <c r="AF161" s="33">
        <f t="shared" si="185"/>
        <v>0</v>
      </c>
      <c r="AG161" s="33">
        <f t="shared" si="186"/>
        <v>0</v>
      </c>
      <c r="AH161" s="33">
        <f t="shared" si="187"/>
        <v>0</v>
      </c>
      <c r="AI161" s="25" t="s">
        <v>199</v>
      </c>
      <c r="AJ161" s="18">
        <f t="shared" si="188"/>
        <v>0</v>
      </c>
      <c r="AK161" s="18">
        <f t="shared" si="189"/>
        <v>0</v>
      </c>
      <c r="AL161" s="18">
        <f t="shared" si="190"/>
        <v>0</v>
      </c>
      <c r="AN161" s="33">
        <v>21</v>
      </c>
      <c r="AO161" s="33">
        <f>G161*0.691403180811856</f>
        <v>0</v>
      </c>
      <c r="AP161" s="33">
        <f>G161*(1-0.691403180811856)</f>
        <v>0</v>
      </c>
      <c r="AQ161" s="30" t="s">
        <v>6</v>
      </c>
      <c r="AV161" s="33">
        <f t="shared" si="191"/>
        <v>0</v>
      </c>
      <c r="AW161" s="33">
        <f t="shared" si="192"/>
        <v>0</v>
      </c>
      <c r="AX161" s="33">
        <f t="shared" si="193"/>
        <v>0</v>
      </c>
      <c r="AY161" s="34" t="s">
        <v>574</v>
      </c>
      <c r="AZ161" s="34" t="s">
        <v>594</v>
      </c>
      <c r="BA161" s="25" t="s">
        <v>602</v>
      </c>
      <c r="BC161" s="33">
        <f t="shared" si="194"/>
        <v>0</v>
      </c>
      <c r="BD161" s="33">
        <f t="shared" si="195"/>
        <v>0</v>
      </c>
      <c r="BE161" s="33">
        <v>0</v>
      </c>
      <c r="BF161" s="33">
        <f t="shared" si="196"/>
        <v>13.4701664</v>
      </c>
      <c r="BH161" s="18">
        <f t="shared" si="197"/>
        <v>0</v>
      </c>
      <c r="BI161" s="18">
        <f t="shared" si="198"/>
        <v>0</v>
      </c>
      <c r="BJ161" s="18">
        <f t="shared" si="199"/>
        <v>0</v>
      </c>
    </row>
    <row r="162" spans="1:14" ht="12.75">
      <c r="A162" s="95"/>
      <c r="B162" s="95"/>
      <c r="C162" s="95"/>
      <c r="D162" s="96" t="s">
        <v>451</v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1:62" ht="12.75">
      <c r="A163" s="86" t="s">
        <v>134</v>
      </c>
      <c r="B163" s="86" t="s">
        <v>199</v>
      </c>
      <c r="C163" s="86" t="s">
        <v>291</v>
      </c>
      <c r="D163" s="86" t="s">
        <v>452</v>
      </c>
      <c r="E163" s="86" t="s">
        <v>526</v>
      </c>
      <c r="F163" s="87">
        <v>88.63</v>
      </c>
      <c r="G163" s="87"/>
      <c r="H163" s="87">
        <f>F163*AO163</f>
        <v>0</v>
      </c>
      <c r="I163" s="87">
        <f>F163*AP163</f>
        <v>0</v>
      </c>
      <c r="J163" s="87">
        <f>F163*G163</f>
        <v>0</v>
      </c>
      <c r="K163" s="88">
        <f>IF(J250=0,0,J163/J250)</f>
        <v>0</v>
      </c>
      <c r="L163" s="87">
        <v>0.1381</v>
      </c>
      <c r="M163" s="87">
        <f>F163*L163</f>
        <v>12.239803</v>
      </c>
      <c r="N163" s="89" t="s">
        <v>559</v>
      </c>
      <c r="Z163" s="33">
        <f>IF(AQ163="5",BJ163,0)</f>
        <v>0</v>
      </c>
      <c r="AB163" s="33">
        <f>IF(AQ163="1",BH163,0)</f>
        <v>0</v>
      </c>
      <c r="AC163" s="33">
        <f>IF(AQ163="1",BI163,0)</f>
        <v>0</v>
      </c>
      <c r="AD163" s="33">
        <f>IF(AQ163="7",BH163,0)</f>
        <v>0</v>
      </c>
      <c r="AE163" s="33">
        <f>IF(AQ163="7",BI163,0)</f>
        <v>0</v>
      </c>
      <c r="AF163" s="33">
        <f>IF(AQ163="2",BH163,0)</f>
        <v>0</v>
      </c>
      <c r="AG163" s="33">
        <f>IF(AQ163="2",BI163,0)</f>
        <v>0</v>
      </c>
      <c r="AH163" s="33">
        <f>IF(AQ163="0",BJ163,0)</f>
        <v>0</v>
      </c>
      <c r="AI163" s="25" t="s">
        <v>199</v>
      </c>
      <c r="AJ163" s="18">
        <f>IF(AN163=0,J163,0)</f>
        <v>0</v>
      </c>
      <c r="AK163" s="18">
        <f>IF(AN163=15,J163,0)</f>
        <v>0</v>
      </c>
      <c r="AL163" s="18">
        <f>IF(AN163=21,J163,0)</f>
        <v>0</v>
      </c>
      <c r="AN163" s="33">
        <v>21</v>
      </c>
      <c r="AO163" s="33">
        <f>G163*0.768783076525607</f>
        <v>0</v>
      </c>
      <c r="AP163" s="33">
        <f>G163*(1-0.768783076525607)</f>
        <v>0</v>
      </c>
      <c r="AQ163" s="30" t="s">
        <v>6</v>
      </c>
      <c r="AV163" s="33">
        <f>AW163+AX163</f>
        <v>0</v>
      </c>
      <c r="AW163" s="33">
        <f>F163*AO163</f>
        <v>0</v>
      </c>
      <c r="AX163" s="33">
        <f>F163*AP163</f>
        <v>0</v>
      </c>
      <c r="AY163" s="34" t="s">
        <v>574</v>
      </c>
      <c r="AZ163" s="34" t="s">
        <v>594</v>
      </c>
      <c r="BA163" s="25" t="s">
        <v>602</v>
      </c>
      <c r="BC163" s="33">
        <f>AW163+AX163</f>
        <v>0</v>
      </c>
      <c r="BD163" s="33">
        <f>G163/(100-BE163)*100</f>
        <v>0</v>
      </c>
      <c r="BE163" s="33">
        <v>0</v>
      </c>
      <c r="BF163" s="33">
        <f>M163</f>
        <v>12.239803</v>
      </c>
      <c r="BH163" s="18">
        <f>F163*AO163</f>
        <v>0</v>
      </c>
      <c r="BI163" s="18">
        <f>F163*AP163</f>
        <v>0</v>
      </c>
      <c r="BJ163" s="18">
        <f>F163*G163</f>
        <v>0</v>
      </c>
    </row>
    <row r="164" spans="1:14" ht="12.75">
      <c r="A164" s="95"/>
      <c r="B164" s="95"/>
      <c r="C164" s="95"/>
      <c r="D164" s="96" t="s">
        <v>453</v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1:62" ht="12.75">
      <c r="A165" s="82" t="s">
        <v>135</v>
      </c>
      <c r="B165" s="82" t="s">
        <v>199</v>
      </c>
      <c r="C165" s="82" t="s">
        <v>292</v>
      </c>
      <c r="D165" s="82" t="s">
        <v>454</v>
      </c>
      <c r="E165" s="82" t="s">
        <v>526</v>
      </c>
      <c r="F165" s="83">
        <v>300.135</v>
      </c>
      <c r="G165" s="83"/>
      <c r="H165" s="83">
        <f>F165*AO165</f>
        <v>0</v>
      </c>
      <c r="I165" s="83">
        <f>F165*AP165</f>
        <v>0</v>
      </c>
      <c r="J165" s="83">
        <f>F165*G165</f>
        <v>0</v>
      </c>
      <c r="K165" s="84">
        <f>IF(J250=0,0,J165/J250)</f>
        <v>0</v>
      </c>
      <c r="L165" s="83">
        <v>0</v>
      </c>
      <c r="M165" s="83">
        <f>F165*L165</f>
        <v>0</v>
      </c>
      <c r="N165" s="85" t="s">
        <v>559</v>
      </c>
      <c r="Z165" s="33">
        <f>IF(AQ165="5",BJ165,0)</f>
        <v>0</v>
      </c>
      <c r="AB165" s="33">
        <f>IF(AQ165="1",BH165,0)</f>
        <v>0</v>
      </c>
      <c r="AC165" s="33">
        <f>IF(AQ165="1",BI165,0)</f>
        <v>0</v>
      </c>
      <c r="AD165" s="33">
        <f>IF(AQ165="7",BH165,0)</f>
        <v>0</v>
      </c>
      <c r="AE165" s="33">
        <f>IF(AQ165="7",BI165,0)</f>
        <v>0</v>
      </c>
      <c r="AF165" s="33">
        <f>IF(AQ165="2",BH165,0)</f>
        <v>0</v>
      </c>
      <c r="AG165" s="33">
        <f>IF(AQ165="2",BI165,0)</f>
        <v>0</v>
      </c>
      <c r="AH165" s="33">
        <f>IF(AQ165="0",BJ165,0)</f>
        <v>0</v>
      </c>
      <c r="AI165" s="25" t="s">
        <v>199</v>
      </c>
      <c r="AJ165" s="17">
        <f>IF(AN165=0,J165,0)</f>
        <v>0</v>
      </c>
      <c r="AK165" s="17">
        <f>IF(AN165=15,J165,0)</f>
        <v>0</v>
      </c>
      <c r="AL165" s="17">
        <f>IF(AN165=21,J165,0)</f>
        <v>0</v>
      </c>
      <c r="AN165" s="33">
        <v>21</v>
      </c>
      <c r="AO165" s="33">
        <f>G165*1</f>
        <v>0</v>
      </c>
      <c r="AP165" s="33">
        <f>G165*(1-1)</f>
        <v>0</v>
      </c>
      <c r="AQ165" s="29" t="s">
        <v>6</v>
      </c>
      <c r="AV165" s="33">
        <f>AW165+AX165</f>
        <v>0</v>
      </c>
      <c r="AW165" s="33">
        <f>F165*AO165</f>
        <v>0</v>
      </c>
      <c r="AX165" s="33">
        <f>F165*AP165</f>
        <v>0</v>
      </c>
      <c r="AY165" s="34" t="s">
        <v>574</v>
      </c>
      <c r="AZ165" s="34" t="s">
        <v>594</v>
      </c>
      <c r="BA165" s="25" t="s">
        <v>602</v>
      </c>
      <c r="BC165" s="33">
        <f>AW165+AX165</f>
        <v>0</v>
      </c>
      <c r="BD165" s="33">
        <f>G165/(100-BE165)*100</f>
        <v>0</v>
      </c>
      <c r="BE165" s="33">
        <v>0</v>
      </c>
      <c r="BF165" s="33">
        <f>M165</f>
        <v>0</v>
      </c>
      <c r="BH165" s="17">
        <f>F165*AO165</f>
        <v>0</v>
      </c>
      <c r="BI165" s="17">
        <f>F165*AP165</f>
        <v>0</v>
      </c>
      <c r="BJ165" s="17">
        <f>F165*G165</f>
        <v>0</v>
      </c>
    </row>
    <row r="166" spans="1:62" ht="12.75">
      <c r="A166" s="86" t="s">
        <v>136</v>
      </c>
      <c r="B166" s="86" t="s">
        <v>199</v>
      </c>
      <c r="C166" s="86" t="s">
        <v>255</v>
      </c>
      <c r="D166" s="86" t="s">
        <v>408</v>
      </c>
      <c r="E166" s="86" t="s">
        <v>528</v>
      </c>
      <c r="F166" s="87">
        <v>300.135</v>
      </c>
      <c r="G166" s="87"/>
      <c r="H166" s="87">
        <f>F166*AO166</f>
        <v>0</v>
      </c>
      <c r="I166" s="87">
        <f>F166*AP166</f>
        <v>0</v>
      </c>
      <c r="J166" s="87">
        <f>F166*G166</f>
        <v>0</v>
      </c>
      <c r="K166" s="88">
        <f>IF(J250=0,0,J166/J250)</f>
        <v>0</v>
      </c>
      <c r="L166" s="87">
        <v>0</v>
      </c>
      <c r="M166" s="87">
        <f>F166*L166</f>
        <v>0</v>
      </c>
      <c r="N166" s="89" t="s">
        <v>559</v>
      </c>
      <c r="Z166" s="33">
        <f>IF(AQ166="5",BJ166,0)</f>
        <v>0</v>
      </c>
      <c r="AB166" s="33">
        <f>IF(AQ166="1",BH166,0)</f>
        <v>0</v>
      </c>
      <c r="AC166" s="33">
        <f>IF(AQ166="1",BI166,0)</f>
        <v>0</v>
      </c>
      <c r="AD166" s="33">
        <f>IF(AQ166="7",BH166,0)</f>
        <v>0</v>
      </c>
      <c r="AE166" s="33">
        <f>IF(AQ166="7",BI166,0)</f>
        <v>0</v>
      </c>
      <c r="AF166" s="33">
        <f>IF(AQ166="2",BH166,0)</f>
        <v>0</v>
      </c>
      <c r="AG166" s="33">
        <f>IF(AQ166="2",BI166,0)</f>
        <v>0</v>
      </c>
      <c r="AH166" s="33">
        <f>IF(AQ166="0",BJ166,0)</f>
        <v>0</v>
      </c>
      <c r="AI166" s="25" t="s">
        <v>199</v>
      </c>
      <c r="AJ166" s="18">
        <f>IF(AN166=0,J166,0)</f>
        <v>0</v>
      </c>
      <c r="AK166" s="18">
        <f>IF(AN166=15,J166,0)</f>
        <v>0</v>
      </c>
      <c r="AL166" s="18">
        <f>IF(AN166=21,J166,0)</f>
        <v>0</v>
      </c>
      <c r="AN166" s="33">
        <v>21</v>
      </c>
      <c r="AO166" s="33">
        <f>G166*0</f>
        <v>0</v>
      </c>
      <c r="AP166" s="33">
        <f>G166*(1-0)</f>
        <v>0</v>
      </c>
      <c r="AQ166" s="30" t="s">
        <v>6</v>
      </c>
      <c r="AV166" s="33">
        <f>AW166+AX166</f>
        <v>0</v>
      </c>
      <c r="AW166" s="33">
        <f>F166*AO166</f>
        <v>0</v>
      </c>
      <c r="AX166" s="33">
        <f>F166*AP166</f>
        <v>0</v>
      </c>
      <c r="AY166" s="34" t="s">
        <v>574</v>
      </c>
      <c r="AZ166" s="34" t="s">
        <v>594</v>
      </c>
      <c r="BA166" s="25" t="s">
        <v>602</v>
      </c>
      <c r="BC166" s="33">
        <f>AW166+AX166</f>
        <v>0</v>
      </c>
      <c r="BD166" s="33">
        <f>G166/(100-BE166)*100</f>
        <v>0</v>
      </c>
      <c r="BE166" s="33">
        <v>0</v>
      </c>
      <c r="BF166" s="33">
        <f>M166</f>
        <v>0</v>
      </c>
      <c r="BH166" s="18">
        <f>F166*AO166</f>
        <v>0</v>
      </c>
      <c r="BI166" s="18">
        <f>F166*AP166</f>
        <v>0</v>
      </c>
      <c r="BJ166" s="18">
        <f>F166*G166</f>
        <v>0</v>
      </c>
    </row>
    <row r="167" spans="1:62" ht="12.75">
      <c r="A167" s="86" t="s">
        <v>137</v>
      </c>
      <c r="B167" s="86" t="s">
        <v>199</v>
      </c>
      <c r="C167" s="86" t="s">
        <v>293</v>
      </c>
      <c r="D167" s="86" t="s">
        <v>455</v>
      </c>
      <c r="E167" s="86" t="s">
        <v>530</v>
      </c>
      <c r="F167" s="87">
        <v>60.027</v>
      </c>
      <c r="G167" s="87"/>
      <c r="H167" s="87">
        <f>F167*AO167</f>
        <v>0</v>
      </c>
      <c r="I167" s="87">
        <f>F167*AP167</f>
        <v>0</v>
      </c>
      <c r="J167" s="87">
        <f>F167*G167</f>
        <v>0</v>
      </c>
      <c r="K167" s="88">
        <f>IF(J250=0,0,J167/J250)</f>
        <v>0</v>
      </c>
      <c r="L167" s="87">
        <v>1.7875</v>
      </c>
      <c r="M167" s="87">
        <f>F167*L167</f>
        <v>107.2982625</v>
      </c>
      <c r="N167" s="89" t="s">
        <v>559</v>
      </c>
      <c r="Z167" s="33">
        <f>IF(AQ167="5",BJ167,0)</f>
        <v>0</v>
      </c>
      <c r="AB167" s="33">
        <f>IF(AQ167="1",BH167,0)</f>
        <v>0</v>
      </c>
      <c r="AC167" s="33">
        <f>IF(AQ167="1",BI167,0)</f>
        <v>0</v>
      </c>
      <c r="AD167" s="33">
        <f>IF(AQ167="7",BH167,0)</f>
        <v>0</v>
      </c>
      <c r="AE167" s="33">
        <f>IF(AQ167="7",BI167,0)</f>
        <v>0</v>
      </c>
      <c r="AF167" s="33">
        <f>IF(AQ167="2",BH167,0)</f>
        <v>0</v>
      </c>
      <c r="AG167" s="33">
        <f>IF(AQ167="2",BI167,0)</f>
        <v>0</v>
      </c>
      <c r="AH167" s="33">
        <f>IF(AQ167="0",BJ167,0)</f>
        <v>0</v>
      </c>
      <c r="AI167" s="25" t="s">
        <v>199</v>
      </c>
      <c r="AJ167" s="18">
        <f>IF(AN167=0,J167,0)</f>
        <v>0</v>
      </c>
      <c r="AK167" s="18">
        <f>IF(AN167=15,J167,0)</f>
        <v>0</v>
      </c>
      <c r="AL167" s="18">
        <f>IF(AN167=21,J167,0)</f>
        <v>0</v>
      </c>
      <c r="AN167" s="33">
        <v>21</v>
      </c>
      <c r="AO167" s="33">
        <f>G167*0.617972694732103</f>
        <v>0</v>
      </c>
      <c r="AP167" s="33">
        <f>G167*(1-0.617972694732103)</f>
        <v>0</v>
      </c>
      <c r="AQ167" s="30" t="s">
        <v>6</v>
      </c>
      <c r="AV167" s="33">
        <f>AW167+AX167</f>
        <v>0</v>
      </c>
      <c r="AW167" s="33">
        <f>F167*AO167</f>
        <v>0</v>
      </c>
      <c r="AX167" s="33">
        <f>F167*AP167</f>
        <v>0</v>
      </c>
      <c r="AY167" s="34" t="s">
        <v>574</v>
      </c>
      <c r="AZ167" s="34" t="s">
        <v>594</v>
      </c>
      <c r="BA167" s="25" t="s">
        <v>602</v>
      </c>
      <c r="BC167" s="33">
        <f>AW167+AX167</f>
        <v>0</v>
      </c>
      <c r="BD167" s="33">
        <f>G167/(100-BE167)*100</f>
        <v>0</v>
      </c>
      <c r="BE167" s="33">
        <v>0</v>
      </c>
      <c r="BF167" s="33">
        <f>M167</f>
        <v>107.2982625</v>
      </c>
      <c r="BH167" s="18">
        <f>F167*AO167</f>
        <v>0</v>
      </c>
      <c r="BI167" s="18">
        <f>F167*AP167</f>
        <v>0</v>
      </c>
      <c r="BJ167" s="18">
        <f>F167*G167</f>
        <v>0</v>
      </c>
    </row>
    <row r="168" spans="1:14" ht="12.75">
      <c r="A168" s="95"/>
      <c r="B168" s="95"/>
      <c r="C168" s="95"/>
      <c r="D168" s="96" t="s">
        <v>456</v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1:62" ht="12.75">
      <c r="A169" s="86" t="s">
        <v>138</v>
      </c>
      <c r="B169" s="86" t="s">
        <v>199</v>
      </c>
      <c r="C169" s="86" t="s">
        <v>294</v>
      </c>
      <c r="D169" s="86" t="s">
        <v>457</v>
      </c>
      <c r="E169" s="86" t="s">
        <v>530</v>
      </c>
      <c r="F169" s="87">
        <v>68.2125</v>
      </c>
      <c r="G169" s="87"/>
      <c r="H169" s="87">
        <f>F169*AO169</f>
        <v>0</v>
      </c>
      <c r="I169" s="87">
        <f>F169*AP169</f>
        <v>0</v>
      </c>
      <c r="J169" s="87">
        <f>F169*G169</f>
        <v>0</v>
      </c>
      <c r="K169" s="88">
        <f>IF(J250=0,0,J169/J250)</f>
        <v>0</v>
      </c>
      <c r="L169" s="87">
        <v>2.5</v>
      </c>
      <c r="M169" s="87">
        <f>F169*L169</f>
        <v>170.53125</v>
      </c>
      <c r="N169" s="89" t="s">
        <v>559</v>
      </c>
      <c r="Z169" s="33">
        <f>IF(AQ169="5",BJ169,0)</f>
        <v>0</v>
      </c>
      <c r="AB169" s="33">
        <f>IF(AQ169="1",BH169,0)</f>
        <v>0</v>
      </c>
      <c r="AC169" s="33">
        <f>IF(AQ169="1",BI169,0)</f>
        <v>0</v>
      </c>
      <c r="AD169" s="33">
        <f>IF(AQ169="7",BH169,0)</f>
        <v>0</v>
      </c>
      <c r="AE169" s="33">
        <f>IF(AQ169="7",BI169,0)</f>
        <v>0</v>
      </c>
      <c r="AF169" s="33">
        <f>IF(AQ169="2",BH169,0)</f>
        <v>0</v>
      </c>
      <c r="AG169" s="33">
        <f>IF(AQ169="2",BI169,0)</f>
        <v>0</v>
      </c>
      <c r="AH169" s="33">
        <f>IF(AQ169="0",BJ169,0)</f>
        <v>0</v>
      </c>
      <c r="AI169" s="25" t="s">
        <v>199</v>
      </c>
      <c r="AJ169" s="18">
        <f>IF(AN169=0,J169,0)</f>
        <v>0</v>
      </c>
      <c r="AK169" s="18">
        <f>IF(AN169=15,J169,0)</f>
        <v>0</v>
      </c>
      <c r="AL169" s="18">
        <f>IF(AN169=21,J169,0)</f>
        <v>0</v>
      </c>
      <c r="AN169" s="33">
        <v>21</v>
      </c>
      <c r="AO169" s="33">
        <f>G169*0.7893521782032</f>
        <v>0</v>
      </c>
      <c r="AP169" s="33">
        <f>G169*(1-0.7893521782032)</f>
        <v>0</v>
      </c>
      <c r="AQ169" s="30" t="s">
        <v>6</v>
      </c>
      <c r="AV169" s="33">
        <f>AW169+AX169</f>
        <v>0</v>
      </c>
      <c r="AW169" s="33">
        <f>F169*AO169</f>
        <v>0</v>
      </c>
      <c r="AX169" s="33">
        <f>F169*AP169</f>
        <v>0</v>
      </c>
      <c r="AY169" s="34" t="s">
        <v>574</v>
      </c>
      <c r="AZ169" s="34" t="s">
        <v>594</v>
      </c>
      <c r="BA169" s="25" t="s">
        <v>602</v>
      </c>
      <c r="BC169" s="33">
        <f>AW169+AX169</f>
        <v>0</v>
      </c>
      <c r="BD169" s="33">
        <f>G169/(100-BE169)*100</f>
        <v>0</v>
      </c>
      <c r="BE169" s="33">
        <v>0</v>
      </c>
      <c r="BF169" s="33">
        <f>M169</f>
        <v>170.53125</v>
      </c>
      <c r="BH169" s="18">
        <f>F169*AO169</f>
        <v>0</v>
      </c>
      <c r="BI169" s="18">
        <f>F169*AP169</f>
        <v>0</v>
      </c>
      <c r="BJ169" s="18">
        <f>F169*G169</f>
        <v>0</v>
      </c>
    </row>
    <row r="170" spans="1:62" ht="12.75">
      <c r="A170" s="86" t="s">
        <v>139</v>
      </c>
      <c r="B170" s="86" t="s">
        <v>199</v>
      </c>
      <c r="C170" s="86" t="s">
        <v>257</v>
      </c>
      <c r="D170" s="86" t="s">
        <v>410</v>
      </c>
      <c r="E170" s="86" t="s">
        <v>530</v>
      </c>
      <c r="F170" s="87">
        <v>147.339</v>
      </c>
      <c r="G170" s="87"/>
      <c r="H170" s="87">
        <f>F170*AO170</f>
        <v>0</v>
      </c>
      <c r="I170" s="87">
        <f>F170*AP170</f>
        <v>0</v>
      </c>
      <c r="J170" s="87">
        <f>F170*G170</f>
        <v>0</v>
      </c>
      <c r="K170" s="88">
        <f>IF(J250=0,0,J170/J250)</f>
        <v>0</v>
      </c>
      <c r="L170" s="87">
        <v>1.7</v>
      </c>
      <c r="M170" s="87">
        <f>F170*L170</f>
        <v>250.47629999999998</v>
      </c>
      <c r="N170" s="89" t="s">
        <v>559</v>
      </c>
      <c r="Z170" s="33">
        <f>IF(AQ170="5",BJ170,0)</f>
        <v>0</v>
      </c>
      <c r="AB170" s="33">
        <f>IF(AQ170="1",BH170,0)</f>
        <v>0</v>
      </c>
      <c r="AC170" s="33">
        <f>IF(AQ170="1",BI170,0)</f>
        <v>0</v>
      </c>
      <c r="AD170" s="33">
        <f>IF(AQ170="7",BH170,0)</f>
        <v>0</v>
      </c>
      <c r="AE170" s="33">
        <f>IF(AQ170="7",BI170,0)</f>
        <v>0</v>
      </c>
      <c r="AF170" s="33">
        <f>IF(AQ170="2",BH170,0)</f>
        <v>0</v>
      </c>
      <c r="AG170" s="33">
        <f>IF(AQ170="2",BI170,0)</f>
        <v>0</v>
      </c>
      <c r="AH170" s="33">
        <f>IF(AQ170="0",BJ170,0)</f>
        <v>0</v>
      </c>
      <c r="AI170" s="25" t="s">
        <v>199</v>
      </c>
      <c r="AJ170" s="18">
        <f>IF(AN170=0,J170,0)</f>
        <v>0</v>
      </c>
      <c r="AK170" s="18">
        <f>IF(AN170=15,J170,0)</f>
        <v>0</v>
      </c>
      <c r="AL170" s="18">
        <f>IF(AN170=21,J170,0)</f>
        <v>0</v>
      </c>
      <c r="AN170" s="33">
        <v>21</v>
      </c>
      <c r="AO170" s="33">
        <f>G170*0.481869077246043</f>
        <v>0</v>
      </c>
      <c r="AP170" s="33">
        <f>G170*(1-0.481869077246043)</f>
        <v>0</v>
      </c>
      <c r="AQ170" s="30" t="s">
        <v>6</v>
      </c>
      <c r="AV170" s="33">
        <f>AW170+AX170</f>
        <v>0</v>
      </c>
      <c r="AW170" s="33">
        <f>F170*AO170</f>
        <v>0</v>
      </c>
      <c r="AX170" s="33">
        <f>F170*AP170</f>
        <v>0</v>
      </c>
      <c r="AY170" s="34" t="s">
        <v>574</v>
      </c>
      <c r="AZ170" s="34" t="s">
        <v>594</v>
      </c>
      <c r="BA170" s="25" t="s">
        <v>602</v>
      </c>
      <c r="BC170" s="33">
        <f>AW170+AX170</f>
        <v>0</v>
      </c>
      <c r="BD170" s="33">
        <f>G170/(100-BE170)*100</f>
        <v>0</v>
      </c>
      <c r="BE170" s="33">
        <v>0</v>
      </c>
      <c r="BF170" s="33">
        <f>M170</f>
        <v>250.47629999999998</v>
      </c>
      <c r="BH170" s="18">
        <f>F170*AO170</f>
        <v>0</v>
      </c>
      <c r="BI170" s="18">
        <f>F170*AP170</f>
        <v>0</v>
      </c>
      <c r="BJ170" s="18">
        <f>F170*G170</f>
        <v>0</v>
      </c>
    </row>
    <row r="171" spans="1:14" ht="12.75">
      <c r="A171" s="95"/>
      <c r="B171" s="95"/>
      <c r="C171" s="95"/>
      <c r="D171" s="96" t="s">
        <v>411</v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1:62" ht="12.75">
      <c r="A172" s="86" t="s">
        <v>140</v>
      </c>
      <c r="B172" s="86" t="s">
        <v>199</v>
      </c>
      <c r="C172" s="86" t="s">
        <v>258</v>
      </c>
      <c r="D172" s="86" t="s">
        <v>412</v>
      </c>
      <c r="E172" s="86" t="s">
        <v>530</v>
      </c>
      <c r="F172" s="87">
        <v>423.06</v>
      </c>
      <c r="G172" s="87"/>
      <c r="H172" s="87">
        <f aca="true" t="shared" si="200" ref="H172:H189">F172*AO172</f>
        <v>0</v>
      </c>
      <c r="I172" s="87">
        <f aca="true" t="shared" si="201" ref="I172:I189">F172*AP172</f>
        <v>0</v>
      </c>
      <c r="J172" s="87">
        <f aca="true" t="shared" si="202" ref="J172:J189">F172*G172</f>
        <v>0</v>
      </c>
      <c r="K172" s="88">
        <f>IF(J250=0,0,J172/J250)</f>
        <v>0</v>
      </c>
      <c r="L172" s="87">
        <v>0</v>
      </c>
      <c r="M172" s="87">
        <f aca="true" t="shared" si="203" ref="M172:M189">F172*L172</f>
        <v>0</v>
      </c>
      <c r="N172" s="89" t="s">
        <v>559</v>
      </c>
      <c r="Z172" s="33">
        <f aca="true" t="shared" si="204" ref="Z172:Z189">IF(AQ172="5",BJ172,0)</f>
        <v>0</v>
      </c>
      <c r="AB172" s="33">
        <f aca="true" t="shared" si="205" ref="AB172:AB189">IF(AQ172="1",BH172,0)</f>
        <v>0</v>
      </c>
      <c r="AC172" s="33">
        <f aca="true" t="shared" si="206" ref="AC172:AC189">IF(AQ172="1",BI172,0)</f>
        <v>0</v>
      </c>
      <c r="AD172" s="33">
        <f aca="true" t="shared" si="207" ref="AD172:AD189">IF(AQ172="7",BH172,0)</f>
        <v>0</v>
      </c>
      <c r="AE172" s="33">
        <f aca="true" t="shared" si="208" ref="AE172:AE189">IF(AQ172="7",BI172,0)</f>
        <v>0</v>
      </c>
      <c r="AF172" s="33">
        <f aca="true" t="shared" si="209" ref="AF172:AF189">IF(AQ172="2",BH172,0)</f>
        <v>0</v>
      </c>
      <c r="AG172" s="33">
        <f aca="true" t="shared" si="210" ref="AG172:AG189">IF(AQ172="2",BI172,0)</f>
        <v>0</v>
      </c>
      <c r="AH172" s="33">
        <f aca="true" t="shared" si="211" ref="AH172:AH189">IF(AQ172="0",BJ172,0)</f>
        <v>0</v>
      </c>
      <c r="AI172" s="25" t="s">
        <v>199</v>
      </c>
      <c r="AJ172" s="18">
        <f aca="true" t="shared" si="212" ref="AJ172:AJ189">IF(AN172=0,J172,0)</f>
        <v>0</v>
      </c>
      <c r="AK172" s="18">
        <f aca="true" t="shared" si="213" ref="AK172:AK189">IF(AN172=15,J172,0)</f>
        <v>0</v>
      </c>
      <c r="AL172" s="18">
        <f aca="true" t="shared" si="214" ref="AL172:AL189">IF(AN172=21,J172,0)</f>
        <v>0</v>
      </c>
      <c r="AN172" s="33">
        <v>21</v>
      </c>
      <c r="AO172" s="33">
        <f>G172*0</f>
        <v>0</v>
      </c>
      <c r="AP172" s="33">
        <f>G172*(1-0)</f>
        <v>0</v>
      </c>
      <c r="AQ172" s="30" t="s">
        <v>6</v>
      </c>
      <c r="AV172" s="33">
        <f aca="true" t="shared" si="215" ref="AV172:AV189">AW172+AX172</f>
        <v>0</v>
      </c>
      <c r="AW172" s="33">
        <f aca="true" t="shared" si="216" ref="AW172:AW189">F172*AO172</f>
        <v>0</v>
      </c>
      <c r="AX172" s="33">
        <f aca="true" t="shared" si="217" ref="AX172:AX189">F172*AP172</f>
        <v>0</v>
      </c>
      <c r="AY172" s="34" t="s">
        <v>574</v>
      </c>
      <c r="AZ172" s="34" t="s">
        <v>594</v>
      </c>
      <c r="BA172" s="25" t="s">
        <v>602</v>
      </c>
      <c r="BC172" s="33">
        <f aca="true" t="shared" si="218" ref="BC172:BC189">AW172+AX172</f>
        <v>0</v>
      </c>
      <c r="BD172" s="33">
        <f aca="true" t="shared" si="219" ref="BD172:BD189">G172/(100-BE172)*100</f>
        <v>0</v>
      </c>
      <c r="BE172" s="33">
        <v>0</v>
      </c>
      <c r="BF172" s="33">
        <f aca="true" t="shared" si="220" ref="BF172:BF189">M172</f>
        <v>0</v>
      </c>
      <c r="BH172" s="18">
        <f aca="true" t="shared" si="221" ref="BH172:BH189">F172*AO172</f>
        <v>0</v>
      </c>
      <c r="BI172" s="18">
        <f aca="true" t="shared" si="222" ref="BI172:BI189">F172*AP172</f>
        <v>0</v>
      </c>
      <c r="BJ172" s="18">
        <f aca="true" t="shared" si="223" ref="BJ172:BJ189">F172*G172</f>
        <v>0</v>
      </c>
    </row>
    <row r="173" spans="1:62" ht="12.75">
      <c r="A173" s="82" t="s">
        <v>141</v>
      </c>
      <c r="B173" s="82" t="s">
        <v>199</v>
      </c>
      <c r="C173" s="82" t="s">
        <v>259</v>
      </c>
      <c r="D173" s="82" t="s">
        <v>413</v>
      </c>
      <c r="E173" s="82" t="s">
        <v>529</v>
      </c>
      <c r="F173" s="83">
        <v>719.202</v>
      </c>
      <c r="G173" s="83"/>
      <c r="H173" s="83">
        <f t="shared" si="200"/>
        <v>0</v>
      </c>
      <c r="I173" s="83">
        <f t="shared" si="201"/>
        <v>0</v>
      </c>
      <c r="J173" s="83">
        <f t="shared" si="202"/>
        <v>0</v>
      </c>
      <c r="K173" s="84">
        <f>IF(J250=0,0,J173/J250)</f>
        <v>0</v>
      </c>
      <c r="L173" s="83">
        <v>1</v>
      </c>
      <c r="M173" s="83">
        <f t="shared" si="203"/>
        <v>719.202</v>
      </c>
      <c r="N173" s="85" t="s">
        <v>559</v>
      </c>
      <c r="Z173" s="33">
        <f t="shared" si="204"/>
        <v>0</v>
      </c>
      <c r="AB173" s="33">
        <f t="shared" si="205"/>
        <v>0</v>
      </c>
      <c r="AC173" s="33">
        <f t="shared" si="206"/>
        <v>0</v>
      </c>
      <c r="AD173" s="33">
        <f t="shared" si="207"/>
        <v>0</v>
      </c>
      <c r="AE173" s="33">
        <f t="shared" si="208"/>
        <v>0</v>
      </c>
      <c r="AF173" s="33">
        <f t="shared" si="209"/>
        <v>0</v>
      </c>
      <c r="AG173" s="33">
        <f t="shared" si="210"/>
        <v>0</v>
      </c>
      <c r="AH173" s="33">
        <f t="shared" si="211"/>
        <v>0</v>
      </c>
      <c r="AI173" s="25" t="s">
        <v>199</v>
      </c>
      <c r="AJ173" s="17">
        <f t="shared" si="212"/>
        <v>0</v>
      </c>
      <c r="AK173" s="17">
        <f t="shared" si="213"/>
        <v>0</v>
      </c>
      <c r="AL173" s="17">
        <f t="shared" si="214"/>
        <v>0</v>
      </c>
      <c r="AN173" s="33">
        <v>21</v>
      </c>
      <c r="AO173" s="33">
        <f>G173*1</f>
        <v>0</v>
      </c>
      <c r="AP173" s="33">
        <f>G173*(1-1)</f>
        <v>0</v>
      </c>
      <c r="AQ173" s="29" t="s">
        <v>6</v>
      </c>
      <c r="AV173" s="33">
        <f t="shared" si="215"/>
        <v>0</v>
      </c>
      <c r="AW173" s="33">
        <f t="shared" si="216"/>
        <v>0</v>
      </c>
      <c r="AX173" s="33">
        <f t="shared" si="217"/>
        <v>0</v>
      </c>
      <c r="AY173" s="34" t="s">
        <v>574</v>
      </c>
      <c r="AZ173" s="34" t="s">
        <v>594</v>
      </c>
      <c r="BA173" s="25" t="s">
        <v>602</v>
      </c>
      <c r="BC173" s="33">
        <f t="shared" si="218"/>
        <v>0</v>
      </c>
      <c r="BD173" s="33">
        <f t="shared" si="219"/>
        <v>0</v>
      </c>
      <c r="BE173" s="33">
        <v>0</v>
      </c>
      <c r="BF173" s="33">
        <f t="shared" si="220"/>
        <v>719.202</v>
      </c>
      <c r="BH173" s="17">
        <f t="shared" si="221"/>
        <v>0</v>
      </c>
      <c r="BI173" s="17">
        <f t="shared" si="222"/>
        <v>0</v>
      </c>
      <c r="BJ173" s="17">
        <f t="shared" si="223"/>
        <v>0</v>
      </c>
    </row>
    <row r="174" spans="1:62" ht="12.75">
      <c r="A174" s="86" t="s">
        <v>142</v>
      </c>
      <c r="B174" s="86" t="s">
        <v>199</v>
      </c>
      <c r="C174" s="86" t="s">
        <v>260</v>
      </c>
      <c r="D174" s="86" t="s">
        <v>414</v>
      </c>
      <c r="E174" s="86" t="s">
        <v>530</v>
      </c>
      <c r="F174" s="87">
        <v>18.15</v>
      </c>
      <c r="G174" s="87"/>
      <c r="H174" s="87">
        <f t="shared" si="200"/>
        <v>0</v>
      </c>
      <c r="I174" s="87">
        <f t="shared" si="201"/>
        <v>0</v>
      </c>
      <c r="J174" s="87">
        <f t="shared" si="202"/>
        <v>0</v>
      </c>
      <c r="K174" s="88">
        <f>IF(J250=0,0,J174/J250)</f>
        <v>0</v>
      </c>
      <c r="L174" s="87">
        <v>0</v>
      </c>
      <c r="M174" s="87">
        <f t="shared" si="203"/>
        <v>0</v>
      </c>
      <c r="N174" s="89" t="s">
        <v>559</v>
      </c>
      <c r="Z174" s="33">
        <f t="shared" si="204"/>
        <v>0</v>
      </c>
      <c r="AB174" s="33">
        <f t="shared" si="205"/>
        <v>0</v>
      </c>
      <c r="AC174" s="33">
        <f t="shared" si="206"/>
        <v>0</v>
      </c>
      <c r="AD174" s="33">
        <f t="shared" si="207"/>
        <v>0</v>
      </c>
      <c r="AE174" s="33">
        <f t="shared" si="208"/>
        <v>0</v>
      </c>
      <c r="AF174" s="33">
        <f t="shared" si="209"/>
        <v>0</v>
      </c>
      <c r="AG174" s="33">
        <f t="shared" si="210"/>
        <v>0</v>
      </c>
      <c r="AH174" s="33">
        <f t="shared" si="211"/>
        <v>0</v>
      </c>
      <c r="AI174" s="25" t="s">
        <v>199</v>
      </c>
      <c r="AJ174" s="18">
        <f t="shared" si="212"/>
        <v>0</v>
      </c>
      <c r="AK174" s="18">
        <f t="shared" si="213"/>
        <v>0</v>
      </c>
      <c r="AL174" s="18">
        <f t="shared" si="214"/>
        <v>0</v>
      </c>
      <c r="AN174" s="33">
        <v>21</v>
      </c>
      <c r="AO174" s="33">
        <f>G174*0</f>
        <v>0</v>
      </c>
      <c r="AP174" s="33">
        <f>G174*(1-0)</f>
        <v>0</v>
      </c>
      <c r="AQ174" s="30" t="s">
        <v>6</v>
      </c>
      <c r="AV174" s="33">
        <f t="shared" si="215"/>
        <v>0</v>
      </c>
      <c r="AW174" s="33">
        <f t="shared" si="216"/>
        <v>0</v>
      </c>
      <c r="AX174" s="33">
        <f t="shared" si="217"/>
        <v>0</v>
      </c>
      <c r="AY174" s="34" t="s">
        <v>574</v>
      </c>
      <c r="AZ174" s="34" t="s">
        <v>594</v>
      </c>
      <c r="BA174" s="25" t="s">
        <v>602</v>
      </c>
      <c r="BC174" s="33">
        <f t="shared" si="218"/>
        <v>0</v>
      </c>
      <c r="BD174" s="33">
        <f t="shared" si="219"/>
        <v>0</v>
      </c>
      <c r="BE174" s="33">
        <v>0</v>
      </c>
      <c r="BF174" s="33">
        <f t="shared" si="220"/>
        <v>0</v>
      </c>
      <c r="BH174" s="18">
        <f t="shared" si="221"/>
        <v>0</v>
      </c>
      <c r="BI174" s="18">
        <f t="shared" si="222"/>
        <v>0</v>
      </c>
      <c r="BJ174" s="18">
        <f t="shared" si="223"/>
        <v>0</v>
      </c>
    </row>
    <row r="175" spans="1:62" ht="12.75">
      <c r="A175" s="82" t="s">
        <v>143</v>
      </c>
      <c r="B175" s="82" t="s">
        <v>199</v>
      </c>
      <c r="C175" s="82" t="s">
        <v>295</v>
      </c>
      <c r="D175" s="82" t="s">
        <v>458</v>
      </c>
      <c r="E175" s="82" t="s">
        <v>534</v>
      </c>
      <c r="F175" s="83">
        <v>3</v>
      </c>
      <c r="G175" s="83"/>
      <c r="H175" s="83">
        <f t="shared" si="200"/>
        <v>0</v>
      </c>
      <c r="I175" s="83">
        <f t="shared" si="201"/>
        <v>0</v>
      </c>
      <c r="J175" s="83">
        <f t="shared" si="202"/>
        <v>0</v>
      </c>
      <c r="K175" s="84">
        <f>IF(J250=0,0,J175/J250)</f>
        <v>0</v>
      </c>
      <c r="L175" s="83">
        <v>0.145</v>
      </c>
      <c r="M175" s="83">
        <f t="shared" si="203"/>
        <v>0.43499999999999994</v>
      </c>
      <c r="N175" s="85" t="s">
        <v>559</v>
      </c>
      <c r="Z175" s="33">
        <f t="shared" si="204"/>
        <v>0</v>
      </c>
      <c r="AB175" s="33">
        <f t="shared" si="205"/>
        <v>0</v>
      </c>
      <c r="AC175" s="33">
        <f t="shared" si="206"/>
        <v>0</v>
      </c>
      <c r="AD175" s="33">
        <f t="shared" si="207"/>
        <v>0</v>
      </c>
      <c r="AE175" s="33">
        <f t="shared" si="208"/>
        <v>0</v>
      </c>
      <c r="AF175" s="33">
        <f t="shared" si="209"/>
        <v>0</v>
      </c>
      <c r="AG175" s="33">
        <f t="shared" si="210"/>
        <v>0</v>
      </c>
      <c r="AH175" s="33">
        <f t="shared" si="211"/>
        <v>0</v>
      </c>
      <c r="AI175" s="25" t="s">
        <v>199</v>
      </c>
      <c r="AJ175" s="17">
        <f t="shared" si="212"/>
        <v>0</v>
      </c>
      <c r="AK175" s="17">
        <f t="shared" si="213"/>
        <v>0</v>
      </c>
      <c r="AL175" s="17">
        <f t="shared" si="214"/>
        <v>0</v>
      </c>
      <c r="AN175" s="33">
        <v>21</v>
      </c>
      <c r="AO175" s="33">
        <f>G175*1</f>
        <v>0</v>
      </c>
      <c r="AP175" s="33">
        <f>G175*(1-1)</f>
        <v>0</v>
      </c>
      <c r="AQ175" s="29" t="s">
        <v>6</v>
      </c>
      <c r="AV175" s="33">
        <f t="shared" si="215"/>
        <v>0</v>
      </c>
      <c r="AW175" s="33">
        <f t="shared" si="216"/>
        <v>0</v>
      </c>
      <c r="AX175" s="33">
        <f t="shared" si="217"/>
        <v>0</v>
      </c>
      <c r="AY175" s="34" t="s">
        <v>574</v>
      </c>
      <c r="AZ175" s="34" t="s">
        <v>594</v>
      </c>
      <c r="BA175" s="25" t="s">
        <v>602</v>
      </c>
      <c r="BC175" s="33">
        <f t="shared" si="218"/>
        <v>0</v>
      </c>
      <c r="BD175" s="33">
        <f t="shared" si="219"/>
        <v>0</v>
      </c>
      <c r="BE175" s="33">
        <v>0</v>
      </c>
      <c r="BF175" s="33">
        <f t="shared" si="220"/>
        <v>0.43499999999999994</v>
      </c>
      <c r="BH175" s="17">
        <f t="shared" si="221"/>
        <v>0</v>
      </c>
      <c r="BI175" s="17">
        <f t="shared" si="222"/>
        <v>0</v>
      </c>
      <c r="BJ175" s="17">
        <f t="shared" si="223"/>
        <v>0</v>
      </c>
    </row>
    <row r="176" spans="1:62" ht="12.75">
      <c r="A176" s="82" t="s">
        <v>144</v>
      </c>
      <c r="B176" s="82" t="s">
        <v>199</v>
      </c>
      <c r="C176" s="82" t="s">
        <v>296</v>
      </c>
      <c r="D176" s="82" t="s">
        <v>459</v>
      </c>
      <c r="E176" s="82" t="s">
        <v>534</v>
      </c>
      <c r="F176" s="83">
        <v>9</v>
      </c>
      <c r="G176" s="83"/>
      <c r="H176" s="83">
        <f t="shared" si="200"/>
        <v>0</v>
      </c>
      <c r="I176" s="83">
        <f t="shared" si="201"/>
        <v>0</v>
      </c>
      <c r="J176" s="83">
        <f t="shared" si="202"/>
        <v>0</v>
      </c>
      <c r="K176" s="84">
        <f>IF(J250=0,0,J176/J250)</f>
        <v>0</v>
      </c>
      <c r="L176" s="83">
        <v>0.172</v>
      </c>
      <c r="M176" s="83">
        <f t="shared" si="203"/>
        <v>1.5479999999999998</v>
      </c>
      <c r="N176" s="85" t="s">
        <v>559</v>
      </c>
      <c r="Z176" s="33">
        <f t="shared" si="204"/>
        <v>0</v>
      </c>
      <c r="AB176" s="33">
        <f t="shared" si="205"/>
        <v>0</v>
      </c>
      <c r="AC176" s="33">
        <f t="shared" si="206"/>
        <v>0</v>
      </c>
      <c r="AD176" s="33">
        <f t="shared" si="207"/>
        <v>0</v>
      </c>
      <c r="AE176" s="33">
        <f t="shared" si="208"/>
        <v>0</v>
      </c>
      <c r="AF176" s="33">
        <f t="shared" si="209"/>
        <v>0</v>
      </c>
      <c r="AG176" s="33">
        <f t="shared" si="210"/>
        <v>0</v>
      </c>
      <c r="AH176" s="33">
        <f t="shared" si="211"/>
        <v>0</v>
      </c>
      <c r="AI176" s="25" t="s">
        <v>199</v>
      </c>
      <c r="AJ176" s="17">
        <f t="shared" si="212"/>
        <v>0</v>
      </c>
      <c r="AK176" s="17">
        <f t="shared" si="213"/>
        <v>0</v>
      </c>
      <c r="AL176" s="17">
        <f t="shared" si="214"/>
        <v>0</v>
      </c>
      <c r="AN176" s="33">
        <v>21</v>
      </c>
      <c r="AO176" s="33">
        <f>G176*1</f>
        <v>0</v>
      </c>
      <c r="AP176" s="33">
        <f>G176*(1-1)</f>
        <v>0</v>
      </c>
      <c r="AQ176" s="29" t="s">
        <v>6</v>
      </c>
      <c r="AV176" s="33">
        <f t="shared" si="215"/>
        <v>0</v>
      </c>
      <c r="AW176" s="33">
        <f t="shared" si="216"/>
        <v>0</v>
      </c>
      <c r="AX176" s="33">
        <f t="shared" si="217"/>
        <v>0</v>
      </c>
      <c r="AY176" s="34" t="s">
        <v>574</v>
      </c>
      <c r="AZ176" s="34" t="s">
        <v>594</v>
      </c>
      <c r="BA176" s="25" t="s">
        <v>602</v>
      </c>
      <c r="BC176" s="33">
        <f t="shared" si="218"/>
        <v>0</v>
      </c>
      <c r="BD176" s="33">
        <f t="shared" si="219"/>
        <v>0</v>
      </c>
      <c r="BE176" s="33">
        <v>0</v>
      </c>
      <c r="BF176" s="33">
        <f t="shared" si="220"/>
        <v>1.5479999999999998</v>
      </c>
      <c r="BH176" s="17">
        <f t="shared" si="221"/>
        <v>0</v>
      </c>
      <c r="BI176" s="17">
        <f t="shared" si="222"/>
        <v>0</v>
      </c>
      <c r="BJ176" s="17">
        <f t="shared" si="223"/>
        <v>0</v>
      </c>
    </row>
    <row r="177" spans="1:62" ht="12.75">
      <c r="A177" s="86" t="s">
        <v>145</v>
      </c>
      <c r="B177" s="86" t="s">
        <v>199</v>
      </c>
      <c r="C177" s="86" t="s">
        <v>297</v>
      </c>
      <c r="D177" s="86" t="s">
        <v>460</v>
      </c>
      <c r="E177" s="86" t="s">
        <v>534</v>
      </c>
      <c r="F177" s="87">
        <v>12</v>
      </c>
      <c r="G177" s="87"/>
      <c r="H177" s="87">
        <f t="shared" si="200"/>
        <v>0</v>
      </c>
      <c r="I177" s="87">
        <f t="shared" si="201"/>
        <v>0</v>
      </c>
      <c r="J177" s="87">
        <f t="shared" si="202"/>
        <v>0</v>
      </c>
      <c r="K177" s="88">
        <f>IF(J250=0,0,J177/J250)</f>
        <v>0</v>
      </c>
      <c r="L177" s="87">
        <v>0.14726</v>
      </c>
      <c r="M177" s="87">
        <f t="shared" si="203"/>
        <v>1.76712</v>
      </c>
      <c r="N177" s="89" t="s">
        <v>559</v>
      </c>
      <c r="Z177" s="33">
        <f t="shared" si="204"/>
        <v>0</v>
      </c>
      <c r="AB177" s="33">
        <f t="shared" si="205"/>
        <v>0</v>
      </c>
      <c r="AC177" s="33">
        <f t="shared" si="206"/>
        <v>0</v>
      </c>
      <c r="AD177" s="33">
        <f t="shared" si="207"/>
        <v>0</v>
      </c>
      <c r="AE177" s="33">
        <f t="shared" si="208"/>
        <v>0</v>
      </c>
      <c r="AF177" s="33">
        <f t="shared" si="209"/>
        <v>0</v>
      </c>
      <c r="AG177" s="33">
        <f t="shared" si="210"/>
        <v>0</v>
      </c>
      <c r="AH177" s="33">
        <f t="shared" si="211"/>
        <v>0</v>
      </c>
      <c r="AI177" s="25" t="s">
        <v>199</v>
      </c>
      <c r="AJ177" s="18">
        <f t="shared" si="212"/>
        <v>0</v>
      </c>
      <c r="AK177" s="18">
        <f t="shared" si="213"/>
        <v>0</v>
      </c>
      <c r="AL177" s="18">
        <f t="shared" si="214"/>
        <v>0</v>
      </c>
      <c r="AN177" s="33">
        <v>21</v>
      </c>
      <c r="AO177" s="33">
        <f>G177*0.858652229299363</f>
        <v>0</v>
      </c>
      <c r="AP177" s="33">
        <f>G177*(1-0.858652229299363)</f>
        <v>0</v>
      </c>
      <c r="AQ177" s="30" t="s">
        <v>6</v>
      </c>
      <c r="AV177" s="33">
        <f t="shared" si="215"/>
        <v>0</v>
      </c>
      <c r="AW177" s="33">
        <f t="shared" si="216"/>
        <v>0</v>
      </c>
      <c r="AX177" s="33">
        <f t="shared" si="217"/>
        <v>0</v>
      </c>
      <c r="AY177" s="34" t="s">
        <v>574</v>
      </c>
      <c r="AZ177" s="34" t="s">
        <v>594</v>
      </c>
      <c r="BA177" s="25" t="s">
        <v>602</v>
      </c>
      <c r="BC177" s="33">
        <f t="shared" si="218"/>
        <v>0</v>
      </c>
      <c r="BD177" s="33">
        <f t="shared" si="219"/>
        <v>0</v>
      </c>
      <c r="BE177" s="33">
        <v>0</v>
      </c>
      <c r="BF177" s="33">
        <f t="shared" si="220"/>
        <v>1.76712</v>
      </c>
      <c r="BH177" s="18">
        <f t="shared" si="221"/>
        <v>0</v>
      </c>
      <c r="BI177" s="18">
        <f t="shared" si="222"/>
        <v>0</v>
      </c>
      <c r="BJ177" s="18">
        <f t="shared" si="223"/>
        <v>0</v>
      </c>
    </row>
    <row r="178" spans="1:62" ht="12.75">
      <c r="A178" s="82" t="s">
        <v>146</v>
      </c>
      <c r="B178" s="82" t="s">
        <v>199</v>
      </c>
      <c r="C178" s="82" t="s">
        <v>298</v>
      </c>
      <c r="D178" s="82" t="s">
        <v>461</v>
      </c>
      <c r="E178" s="82" t="s">
        <v>534</v>
      </c>
      <c r="F178" s="83">
        <v>8</v>
      </c>
      <c r="G178" s="83"/>
      <c r="H178" s="83">
        <f t="shared" si="200"/>
        <v>0</v>
      </c>
      <c r="I178" s="83">
        <f t="shared" si="201"/>
        <v>0</v>
      </c>
      <c r="J178" s="83">
        <f t="shared" si="202"/>
        <v>0</v>
      </c>
      <c r="K178" s="84">
        <f>IF(J250=0,0,J178/J250)</f>
        <v>0</v>
      </c>
      <c r="L178" s="83">
        <v>0.086</v>
      </c>
      <c r="M178" s="83">
        <f t="shared" si="203"/>
        <v>0.688</v>
      </c>
      <c r="N178" s="85" t="s">
        <v>559</v>
      </c>
      <c r="Z178" s="33">
        <f t="shared" si="204"/>
        <v>0</v>
      </c>
      <c r="AB178" s="33">
        <f t="shared" si="205"/>
        <v>0</v>
      </c>
      <c r="AC178" s="33">
        <f t="shared" si="206"/>
        <v>0</v>
      </c>
      <c r="AD178" s="33">
        <f t="shared" si="207"/>
        <v>0</v>
      </c>
      <c r="AE178" s="33">
        <f t="shared" si="208"/>
        <v>0</v>
      </c>
      <c r="AF178" s="33">
        <f t="shared" si="209"/>
        <v>0</v>
      </c>
      <c r="AG178" s="33">
        <f t="shared" si="210"/>
        <v>0</v>
      </c>
      <c r="AH178" s="33">
        <f t="shared" si="211"/>
        <v>0</v>
      </c>
      <c r="AI178" s="25" t="s">
        <v>199</v>
      </c>
      <c r="AJ178" s="17">
        <f t="shared" si="212"/>
        <v>0</v>
      </c>
      <c r="AK178" s="17">
        <f t="shared" si="213"/>
        <v>0</v>
      </c>
      <c r="AL178" s="17">
        <f t="shared" si="214"/>
        <v>0</v>
      </c>
      <c r="AN178" s="33">
        <v>21</v>
      </c>
      <c r="AO178" s="33">
        <f>G178*1</f>
        <v>0</v>
      </c>
      <c r="AP178" s="33">
        <f>G178*(1-1)</f>
        <v>0</v>
      </c>
      <c r="AQ178" s="29" t="s">
        <v>6</v>
      </c>
      <c r="AV178" s="33">
        <f t="shared" si="215"/>
        <v>0</v>
      </c>
      <c r="AW178" s="33">
        <f t="shared" si="216"/>
        <v>0</v>
      </c>
      <c r="AX178" s="33">
        <f t="shared" si="217"/>
        <v>0</v>
      </c>
      <c r="AY178" s="34" t="s">
        <v>574</v>
      </c>
      <c r="AZ178" s="34" t="s">
        <v>594</v>
      </c>
      <c r="BA178" s="25" t="s">
        <v>602</v>
      </c>
      <c r="BC178" s="33">
        <f t="shared" si="218"/>
        <v>0</v>
      </c>
      <c r="BD178" s="33">
        <f t="shared" si="219"/>
        <v>0</v>
      </c>
      <c r="BE178" s="33">
        <v>0</v>
      </c>
      <c r="BF178" s="33">
        <f t="shared" si="220"/>
        <v>0.688</v>
      </c>
      <c r="BH178" s="17">
        <f t="shared" si="221"/>
        <v>0</v>
      </c>
      <c r="BI178" s="17">
        <f t="shared" si="222"/>
        <v>0</v>
      </c>
      <c r="BJ178" s="17">
        <f t="shared" si="223"/>
        <v>0</v>
      </c>
    </row>
    <row r="179" spans="1:62" ht="12.75">
      <c r="A179" s="82" t="s">
        <v>147</v>
      </c>
      <c r="B179" s="82" t="s">
        <v>199</v>
      </c>
      <c r="C179" s="82" t="s">
        <v>299</v>
      </c>
      <c r="D179" s="82" t="s">
        <v>462</v>
      </c>
      <c r="E179" s="82" t="s">
        <v>534</v>
      </c>
      <c r="F179" s="83">
        <v>15</v>
      </c>
      <c r="G179" s="83"/>
      <c r="H179" s="83">
        <f t="shared" si="200"/>
        <v>0</v>
      </c>
      <c r="I179" s="83">
        <f t="shared" si="201"/>
        <v>0</v>
      </c>
      <c r="J179" s="83">
        <f t="shared" si="202"/>
        <v>0</v>
      </c>
      <c r="K179" s="84">
        <f>IF(J250=0,0,J179/J250)</f>
        <v>0</v>
      </c>
      <c r="L179" s="83">
        <v>0.073</v>
      </c>
      <c r="M179" s="83">
        <f t="shared" si="203"/>
        <v>1.095</v>
      </c>
      <c r="N179" s="85" t="s">
        <v>559</v>
      </c>
      <c r="Z179" s="33">
        <f t="shared" si="204"/>
        <v>0</v>
      </c>
      <c r="AB179" s="33">
        <f t="shared" si="205"/>
        <v>0</v>
      </c>
      <c r="AC179" s="33">
        <f t="shared" si="206"/>
        <v>0</v>
      </c>
      <c r="AD179" s="33">
        <f t="shared" si="207"/>
        <v>0</v>
      </c>
      <c r="AE179" s="33">
        <f t="shared" si="208"/>
        <v>0</v>
      </c>
      <c r="AF179" s="33">
        <f t="shared" si="209"/>
        <v>0</v>
      </c>
      <c r="AG179" s="33">
        <f t="shared" si="210"/>
        <v>0</v>
      </c>
      <c r="AH179" s="33">
        <f t="shared" si="211"/>
        <v>0</v>
      </c>
      <c r="AI179" s="25" t="s">
        <v>199</v>
      </c>
      <c r="AJ179" s="17">
        <f t="shared" si="212"/>
        <v>0</v>
      </c>
      <c r="AK179" s="17">
        <f t="shared" si="213"/>
        <v>0</v>
      </c>
      <c r="AL179" s="17">
        <f t="shared" si="214"/>
        <v>0</v>
      </c>
      <c r="AN179" s="33">
        <v>21</v>
      </c>
      <c r="AO179" s="33">
        <f>G179*1</f>
        <v>0</v>
      </c>
      <c r="AP179" s="33">
        <f>G179*(1-1)</f>
        <v>0</v>
      </c>
      <c r="AQ179" s="29" t="s">
        <v>6</v>
      </c>
      <c r="AV179" s="33">
        <f t="shared" si="215"/>
        <v>0</v>
      </c>
      <c r="AW179" s="33">
        <f t="shared" si="216"/>
        <v>0</v>
      </c>
      <c r="AX179" s="33">
        <f t="shared" si="217"/>
        <v>0</v>
      </c>
      <c r="AY179" s="34" t="s">
        <v>574</v>
      </c>
      <c r="AZ179" s="34" t="s">
        <v>594</v>
      </c>
      <c r="BA179" s="25" t="s">
        <v>602</v>
      </c>
      <c r="BC179" s="33">
        <f t="shared" si="218"/>
        <v>0</v>
      </c>
      <c r="BD179" s="33">
        <f t="shared" si="219"/>
        <v>0</v>
      </c>
      <c r="BE179" s="33">
        <v>0</v>
      </c>
      <c r="BF179" s="33">
        <f t="shared" si="220"/>
        <v>1.095</v>
      </c>
      <c r="BH179" s="17">
        <f t="shared" si="221"/>
        <v>0</v>
      </c>
      <c r="BI179" s="17">
        <f t="shared" si="222"/>
        <v>0</v>
      </c>
      <c r="BJ179" s="17">
        <f t="shared" si="223"/>
        <v>0</v>
      </c>
    </row>
    <row r="180" spans="1:62" ht="12.75">
      <c r="A180" s="86" t="s">
        <v>148</v>
      </c>
      <c r="B180" s="86" t="s">
        <v>199</v>
      </c>
      <c r="C180" s="86" t="s">
        <v>300</v>
      </c>
      <c r="D180" s="86" t="s">
        <v>463</v>
      </c>
      <c r="E180" s="86" t="s">
        <v>534</v>
      </c>
      <c r="F180" s="87">
        <v>23</v>
      </c>
      <c r="G180" s="87"/>
      <c r="H180" s="87">
        <f t="shared" si="200"/>
        <v>0</v>
      </c>
      <c r="I180" s="87">
        <f t="shared" si="201"/>
        <v>0</v>
      </c>
      <c r="J180" s="87">
        <f t="shared" si="202"/>
        <v>0</v>
      </c>
      <c r="K180" s="88">
        <f>IF(J250=0,0,J180/J250)</f>
        <v>0</v>
      </c>
      <c r="L180" s="87">
        <v>0.04981</v>
      </c>
      <c r="M180" s="87">
        <f t="shared" si="203"/>
        <v>1.14563</v>
      </c>
      <c r="N180" s="89" t="s">
        <v>559</v>
      </c>
      <c r="Z180" s="33">
        <f t="shared" si="204"/>
        <v>0</v>
      </c>
      <c r="AB180" s="33">
        <f t="shared" si="205"/>
        <v>0</v>
      </c>
      <c r="AC180" s="33">
        <f t="shared" si="206"/>
        <v>0</v>
      </c>
      <c r="AD180" s="33">
        <f t="shared" si="207"/>
        <v>0</v>
      </c>
      <c r="AE180" s="33">
        <f t="shared" si="208"/>
        <v>0</v>
      </c>
      <c r="AF180" s="33">
        <f t="shared" si="209"/>
        <v>0</v>
      </c>
      <c r="AG180" s="33">
        <f t="shared" si="210"/>
        <v>0</v>
      </c>
      <c r="AH180" s="33">
        <f t="shared" si="211"/>
        <v>0</v>
      </c>
      <c r="AI180" s="25" t="s">
        <v>199</v>
      </c>
      <c r="AJ180" s="18">
        <f t="shared" si="212"/>
        <v>0</v>
      </c>
      <c r="AK180" s="18">
        <f t="shared" si="213"/>
        <v>0</v>
      </c>
      <c r="AL180" s="18">
        <f t="shared" si="214"/>
        <v>0</v>
      </c>
      <c r="AN180" s="33">
        <v>21</v>
      </c>
      <c r="AO180" s="33">
        <f>G180*0.831785407725322</f>
        <v>0</v>
      </c>
      <c r="AP180" s="33">
        <f>G180*(1-0.831785407725322)</f>
        <v>0</v>
      </c>
      <c r="AQ180" s="30" t="s">
        <v>6</v>
      </c>
      <c r="AV180" s="33">
        <f t="shared" si="215"/>
        <v>0</v>
      </c>
      <c r="AW180" s="33">
        <f t="shared" si="216"/>
        <v>0</v>
      </c>
      <c r="AX180" s="33">
        <f t="shared" si="217"/>
        <v>0</v>
      </c>
      <c r="AY180" s="34" t="s">
        <v>574</v>
      </c>
      <c r="AZ180" s="34" t="s">
        <v>594</v>
      </c>
      <c r="BA180" s="25" t="s">
        <v>602</v>
      </c>
      <c r="BC180" s="33">
        <f t="shared" si="218"/>
        <v>0</v>
      </c>
      <c r="BD180" s="33">
        <f t="shared" si="219"/>
        <v>0</v>
      </c>
      <c r="BE180" s="33">
        <v>0</v>
      </c>
      <c r="BF180" s="33">
        <f t="shared" si="220"/>
        <v>1.14563</v>
      </c>
      <c r="BH180" s="18">
        <f t="shared" si="221"/>
        <v>0</v>
      </c>
      <c r="BI180" s="18">
        <f t="shared" si="222"/>
        <v>0</v>
      </c>
      <c r="BJ180" s="18">
        <f t="shared" si="223"/>
        <v>0</v>
      </c>
    </row>
    <row r="181" spans="1:62" ht="12.75">
      <c r="A181" s="82" t="s">
        <v>149</v>
      </c>
      <c r="B181" s="82" t="s">
        <v>199</v>
      </c>
      <c r="C181" s="82" t="s">
        <v>301</v>
      </c>
      <c r="D181" s="82" t="s">
        <v>464</v>
      </c>
      <c r="E181" s="82" t="s">
        <v>534</v>
      </c>
      <c r="F181" s="83">
        <v>26</v>
      </c>
      <c r="G181" s="83"/>
      <c r="H181" s="83">
        <f t="shared" si="200"/>
        <v>0</v>
      </c>
      <c r="I181" s="83">
        <f t="shared" si="201"/>
        <v>0</v>
      </c>
      <c r="J181" s="83">
        <f t="shared" si="202"/>
        <v>0</v>
      </c>
      <c r="K181" s="84">
        <f>IF(J250=0,0,J181/J250)</f>
        <v>0</v>
      </c>
      <c r="L181" s="83">
        <v>0.00212</v>
      </c>
      <c r="M181" s="83">
        <f t="shared" si="203"/>
        <v>0.055119999999999995</v>
      </c>
      <c r="N181" s="85" t="s">
        <v>559</v>
      </c>
      <c r="Z181" s="33">
        <f t="shared" si="204"/>
        <v>0</v>
      </c>
      <c r="AB181" s="33">
        <f t="shared" si="205"/>
        <v>0</v>
      </c>
      <c r="AC181" s="33">
        <f t="shared" si="206"/>
        <v>0</v>
      </c>
      <c r="AD181" s="33">
        <f t="shared" si="207"/>
        <v>0</v>
      </c>
      <c r="AE181" s="33">
        <f t="shared" si="208"/>
        <v>0</v>
      </c>
      <c r="AF181" s="33">
        <f t="shared" si="209"/>
        <v>0</v>
      </c>
      <c r="AG181" s="33">
        <f t="shared" si="210"/>
        <v>0</v>
      </c>
      <c r="AH181" s="33">
        <f t="shared" si="211"/>
        <v>0</v>
      </c>
      <c r="AI181" s="25" t="s">
        <v>199</v>
      </c>
      <c r="AJ181" s="17">
        <f t="shared" si="212"/>
        <v>0</v>
      </c>
      <c r="AK181" s="17">
        <f t="shared" si="213"/>
        <v>0</v>
      </c>
      <c r="AL181" s="17">
        <f t="shared" si="214"/>
        <v>0</v>
      </c>
      <c r="AN181" s="33">
        <v>21</v>
      </c>
      <c r="AO181" s="33">
        <f aca="true" t="shared" si="224" ref="AO181:AO186">G181*1</f>
        <v>0</v>
      </c>
      <c r="AP181" s="33">
        <f aca="true" t="shared" si="225" ref="AP181:AP186">G181*(1-1)</f>
        <v>0</v>
      </c>
      <c r="AQ181" s="29" t="s">
        <v>6</v>
      </c>
      <c r="AV181" s="33">
        <f t="shared" si="215"/>
        <v>0</v>
      </c>
      <c r="AW181" s="33">
        <f t="shared" si="216"/>
        <v>0</v>
      </c>
      <c r="AX181" s="33">
        <f t="shared" si="217"/>
        <v>0</v>
      </c>
      <c r="AY181" s="34" t="s">
        <v>574</v>
      </c>
      <c r="AZ181" s="34" t="s">
        <v>594</v>
      </c>
      <c r="BA181" s="25" t="s">
        <v>602</v>
      </c>
      <c r="BC181" s="33">
        <f t="shared" si="218"/>
        <v>0</v>
      </c>
      <c r="BD181" s="33">
        <f t="shared" si="219"/>
        <v>0</v>
      </c>
      <c r="BE181" s="33">
        <v>0</v>
      </c>
      <c r="BF181" s="33">
        <f t="shared" si="220"/>
        <v>0.055119999999999995</v>
      </c>
      <c r="BH181" s="17">
        <f t="shared" si="221"/>
        <v>0</v>
      </c>
      <c r="BI181" s="17">
        <f t="shared" si="222"/>
        <v>0</v>
      </c>
      <c r="BJ181" s="17">
        <f t="shared" si="223"/>
        <v>0</v>
      </c>
    </row>
    <row r="182" spans="1:62" ht="12.75">
      <c r="A182" s="82" t="s">
        <v>150</v>
      </c>
      <c r="B182" s="82" t="s">
        <v>199</v>
      </c>
      <c r="C182" s="82" t="s">
        <v>302</v>
      </c>
      <c r="D182" s="82" t="s">
        <v>465</v>
      </c>
      <c r="E182" s="82" t="s">
        <v>534</v>
      </c>
      <c r="F182" s="83">
        <v>26</v>
      </c>
      <c r="G182" s="83"/>
      <c r="H182" s="83">
        <f t="shared" si="200"/>
        <v>0</v>
      </c>
      <c r="I182" s="83">
        <f t="shared" si="201"/>
        <v>0</v>
      </c>
      <c r="J182" s="83">
        <f t="shared" si="202"/>
        <v>0</v>
      </c>
      <c r="K182" s="84">
        <f>IF(J250=0,0,J182/J250)</f>
        <v>0</v>
      </c>
      <c r="L182" s="83">
        <v>0.00184</v>
      </c>
      <c r="M182" s="83">
        <f t="shared" si="203"/>
        <v>0.04784</v>
      </c>
      <c r="N182" s="85" t="s">
        <v>559</v>
      </c>
      <c r="Z182" s="33">
        <f t="shared" si="204"/>
        <v>0</v>
      </c>
      <c r="AB182" s="33">
        <f t="shared" si="205"/>
        <v>0</v>
      </c>
      <c r="AC182" s="33">
        <f t="shared" si="206"/>
        <v>0</v>
      </c>
      <c r="AD182" s="33">
        <f t="shared" si="207"/>
        <v>0</v>
      </c>
      <c r="AE182" s="33">
        <f t="shared" si="208"/>
        <v>0</v>
      </c>
      <c r="AF182" s="33">
        <f t="shared" si="209"/>
        <v>0</v>
      </c>
      <c r="AG182" s="33">
        <f t="shared" si="210"/>
        <v>0</v>
      </c>
      <c r="AH182" s="33">
        <f t="shared" si="211"/>
        <v>0</v>
      </c>
      <c r="AI182" s="25" t="s">
        <v>199</v>
      </c>
      <c r="AJ182" s="17">
        <f t="shared" si="212"/>
        <v>0</v>
      </c>
      <c r="AK182" s="17">
        <f t="shared" si="213"/>
        <v>0</v>
      </c>
      <c r="AL182" s="17">
        <f t="shared" si="214"/>
        <v>0</v>
      </c>
      <c r="AN182" s="33">
        <v>21</v>
      </c>
      <c r="AO182" s="33">
        <f t="shared" si="224"/>
        <v>0</v>
      </c>
      <c r="AP182" s="33">
        <f t="shared" si="225"/>
        <v>0</v>
      </c>
      <c r="AQ182" s="29" t="s">
        <v>6</v>
      </c>
      <c r="AV182" s="33">
        <f t="shared" si="215"/>
        <v>0</v>
      </c>
      <c r="AW182" s="33">
        <f t="shared" si="216"/>
        <v>0</v>
      </c>
      <c r="AX182" s="33">
        <f t="shared" si="217"/>
        <v>0</v>
      </c>
      <c r="AY182" s="34" t="s">
        <v>574</v>
      </c>
      <c r="AZ182" s="34" t="s">
        <v>594</v>
      </c>
      <c r="BA182" s="25" t="s">
        <v>602</v>
      </c>
      <c r="BC182" s="33">
        <f t="shared" si="218"/>
        <v>0</v>
      </c>
      <c r="BD182" s="33">
        <f t="shared" si="219"/>
        <v>0</v>
      </c>
      <c r="BE182" s="33">
        <v>0</v>
      </c>
      <c r="BF182" s="33">
        <f t="shared" si="220"/>
        <v>0.04784</v>
      </c>
      <c r="BH182" s="17">
        <f t="shared" si="221"/>
        <v>0</v>
      </c>
      <c r="BI182" s="17">
        <f t="shared" si="222"/>
        <v>0</v>
      </c>
      <c r="BJ182" s="17">
        <f t="shared" si="223"/>
        <v>0</v>
      </c>
    </row>
    <row r="183" spans="1:62" ht="12.75">
      <c r="A183" s="82" t="s">
        <v>151</v>
      </c>
      <c r="B183" s="82" t="s">
        <v>199</v>
      </c>
      <c r="C183" s="82" t="s">
        <v>303</v>
      </c>
      <c r="D183" s="82" t="s">
        <v>466</v>
      </c>
      <c r="E183" s="82" t="s">
        <v>534</v>
      </c>
      <c r="F183" s="83">
        <v>48</v>
      </c>
      <c r="G183" s="83"/>
      <c r="H183" s="83">
        <f t="shared" si="200"/>
        <v>0</v>
      </c>
      <c r="I183" s="83">
        <f t="shared" si="201"/>
        <v>0</v>
      </c>
      <c r="J183" s="83">
        <f t="shared" si="202"/>
        <v>0</v>
      </c>
      <c r="K183" s="84">
        <f>IF(J250=0,0,J183/J250)</f>
        <v>0</v>
      </c>
      <c r="L183" s="83">
        <v>0.00125</v>
      </c>
      <c r="M183" s="83">
        <f t="shared" si="203"/>
        <v>0.06</v>
      </c>
      <c r="N183" s="85" t="s">
        <v>559</v>
      </c>
      <c r="Z183" s="33">
        <f t="shared" si="204"/>
        <v>0</v>
      </c>
      <c r="AB183" s="33">
        <f t="shared" si="205"/>
        <v>0</v>
      </c>
      <c r="AC183" s="33">
        <f t="shared" si="206"/>
        <v>0</v>
      </c>
      <c r="AD183" s="33">
        <f t="shared" si="207"/>
        <v>0</v>
      </c>
      <c r="AE183" s="33">
        <f t="shared" si="208"/>
        <v>0</v>
      </c>
      <c r="AF183" s="33">
        <f t="shared" si="209"/>
        <v>0</v>
      </c>
      <c r="AG183" s="33">
        <f t="shared" si="210"/>
        <v>0</v>
      </c>
      <c r="AH183" s="33">
        <f t="shared" si="211"/>
        <v>0</v>
      </c>
      <c r="AI183" s="25" t="s">
        <v>199</v>
      </c>
      <c r="AJ183" s="17">
        <f t="shared" si="212"/>
        <v>0</v>
      </c>
      <c r="AK183" s="17">
        <f t="shared" si="213"/>
        <v>0</v>
      </c>
      <c r="AL183" s="17">
        <f t="shared" si="214"/>
        <v>0</v>
      </c>
      <c r="AN183" s="33">
        <v>21</v>
      </c>
      <c r="AO183" s="33">
        <f t="shared" si="224"/>
        <v>0</v>
      </c>
      <c r="AP183" s="33">
        <f t="shared" si="225"/>
        <v>0</v>
      </c>
      <c r="AQ183" s="29" t="s">
        <v>6</v>
      </c>
      <c r="AV183" s="33">
        <f t="shared" si="215"/>
        <v>0</v>
      </c>
      <c r="AW183" s="33">
        <f t="shared" si="216"/>
        <v>0</v>
      </c>
      <c r="AX183" s="33">
        <f t="shared" si="217"/>
        <v>0</v>
      </c>
      <c r="AY183" s="34" t="s">
        <v>574</v>
      </c>
      <c r="AZ183" s="34" t="s">
        <v>594</v>
      </c>
      <c r="BA183" s="25" t="s">
        <v>602</v>
      </c>
      <c r="BC183" s="33">
        <f t="shared" si="218"/>
        <v>0</v>
      </c>
      <c r="BD183" s="33">
        <f t="shared" si="219"/>
        <v>0</v>
      </c>
      <c r="BE183" s="33">
        <v>0</v>
      </c>
      <c r="BF183" s="33">
        <f t="shared" si="220"/>
        <v>0.06</v>
      </c>
      <c r="BH183" s="17">
        <f t="shared" si="221"/>
        <v>0</v>
      </c>
      <c r="BI183" s="17">
        <f t="shared" si="222"/>
        <v>0</v>
      </c>
      <c r="BJ183" s="17">
        <f t="shared" si="223"/>
        <v>0</v>
      </c>
    </row>
    <row r="184" spans="1:62" ht="12.75">
      <c r="A184" s="82" t="s">
        <v>152</v>
      </c>
      <c r="B184" s="82" t="s">
        <v>199</v>
      </c>
      <c r="C184" s="82" t="s">
        <v>304</v>
      </c>
      <c r="D184" s="82" t="s">
        <v>467</v>
      </c>
      <c r="E184" s="82" t="s">
        <v>534</v>
      </c>
      <c r="F184" s="83">
        <v>48</v>
      </c>
      <c r="G184" s="83"/>
      <c r="H184" s="83">
        <f t="shared" si="200"/>
        <v>0</v>
      </c>
      <c r="I184" s="83">
        <f t="shared" si="201"/>
        <v>0</v>
      </c>
      <c r="J184" s="83">
        <f t="shared" si="202"/>
        <v>0</v>
      </c>
      <c r="K184" s="84">
        <f>IF(J250=0,0,J184/J250)</f>
        <v>0</v>
      </c>
      <c r="L184" s="83">
        <v>0.00107</v>
      </c>
      <c r="M184" s="83">
        <f t="shared" si="203"/>
        <v>0.05136</v>
      </c>
      <c r="N184" s="85" t="s">
        <v>559</v>
      </c>
      <c r="Z184" s="33">
        <f t="shared" si="204"/>
        <v>0</v>
      </c>
      <c r="AB184" s="33">
        <f t="shared" si="205"/>
        <v>0</v>
      </c>
      <c r="AC184" s="33">
        <f t="shared" si="206"/>
        <v>0</v>
      </c>
      <c r="AD184" s="33">
        <f t="shared" si="207"/>
        <v>0</v>
      </c>
      <c r="AE184" s="33">
        <f t="shared" si="208"/>
        <v>0</v>
      </c>
      <c r="AF184" s="33">
        <f t="shared" si="209"/>
        <v>0</v>
      </c>
      <c r="AG184" s="33">
        <f t="shared" si="210"/>
        <v>0</v>
      </c>
      <c r="AH184" s="33">
        <f t="shared" si="211"/>
        <v>0</v>
      </c>
      <c r="AI184" s="25" t="s">
        <v>199</v>
      </c>
      <c r="AJ184" s="17">
        <f t="shared" si="212"/>
        <v>0</v>
      </c>
      <c r="AK184" s="17">
        <f t="shared" si="213"/>
        <v>0</v>
      </c>
      <c r="AL184" s="17">
        <f t="shared" si="214"/>
        <v>0</v>
      </c>
      <c r="AN184" s="33">
        <v>21</v>
      </c>
      <c r="AO184" s="33">
        <f t="shared" si="224"/>
        <v>0</v>
      </c>
      <c r="AP184" s="33">
        <f t="shared" si="225"/>
        <v>0</v>
      </c>
      <c r="AQ184" s="29" t="s">
        <v>6</v>
      </c>
      <c r="AV184" s="33">
        <f t="shared" si="215"/>
        <v>0</v>
      </c>
      <c r="AW184" s="33">
        <f t="shared" si="216"/>
        <v>0</v>
      </c>
      <c r="AX184" s="33">
        <f t="shared" si="217"/>
        <v>0</v>
      </c>
      <c r="AY184" s="34" t="s">
        <v>574</v>
      </c>
      <c r="AZ184" s="34" t="s">
        <v>594</v>
      </c>
      <c r="BA184" s="25" t="s">
        <v>602</v>
      </c>
      <c r="BC184" s="33">
        <f t="shared" si="218"/>
        <v>0</v>
      </c>
      <c r="BD184" s="33">
        <f t="shared" si="219"/>
        <v>0</v>
      </c>
      <c r="BE184" s="33">
        <v>0</v>
      </c>
      <c r="BF184" s="33">
        <f t="shared" si="220"/>
        <v>0.05136</v>
      </c>
      <c r="BH184" s="17">
        <f t="shared" si="221"/>
        <v>0</v>
      </c>
      <c r="BI184" s="17">
        <f t="shared" si="222"/>
        <v>0</v>
      </c>
      <c r="BJ184" s="17">
        <f t="shared" si="223"/>
        <v>0</v>
      </c>
    </row>
    <row r="185" spans="1:62" ht="12.75">
      <c r="A185" s="82" t="s">
        <v>153</v>
      </c>
      <c r="B185" s="82" t="s">
        <v>199</v>
      </c>
      <c r="C185" s="82" t="s">
        <v>305</v>
      </c>
      <c r="D185" s="82" t="s">
        <v>468</v>
      </c>
      <c r="E185" s="82" t="s">
        <v>534</v>
      </c>
      <c r="F185" s="83">
        <v>48</v>
      </c>
      <c r="G185" s="83"/>
      <c r="H185" s="83">
        <f t="shared" si="200"/>
        <v>0</v>
      </c>
      <c r="I185" s="83">
        <f t="shared" si="201"/>
        <v>0</v>
      </c>
      <c r="J185" s="83">
        <f t="shared" si="202"/>
        <v>0</v>
      </c>
      <c r="K185" s="84">
        <f>IF(J250=0,0,J185/J250)</f>
        <v>0</v>
      </c>
      <c r="L185" s="83">
        <v>0.001</v>
      </c>
      <c r="M185" s="83">
        <f t="shared" si="203"/>
        <v>0.048</v>
      </c>
      <c r="N185" s="85" t="s">
        <v>559</v>
      </c>
      <c r="Z185" s="33">
        <f t="shared" si="204"/>
        <v>0</v>
      </c>
      <c r="AB185" s="33">
        <f t="shared" si="205"/>
        <v>0</v>
      </c>
      <c r="AC185" s="33">
        <f t="shared" si="206"/>
        <v>0</v>
      </c>
      <c r="AD185" s="33">
        <f t="shared" si="207"/>
        <v>0</v>
      </c>
      <c r="AE185" s="33">
        <f t="shared" si="208"/>
        <v>0</v>
      </c>
      <c r="AF185" s="33">
        <f t="shared" si="209"/>
        <v>0</v>
      </c>
      <c r="AG185" s="33">
        <f t="shared" si="210"/>
        <v>0</v>
      </c>
      <c r="AH185" s="33">
        <f t="shared" si="211"/>
        <v>0</v>
      </c>
      <c r="AI185" s="25" t="s">
        <v>199</v>
      </c>
      <c r="AJ185" s="17">
        <f t="shared" si="212"/>
        <v>0</v>
      </c>
      <c r="AK185" s="17">
        <f t="shared" si="213"/>
        <v>0</v>
      </c>
      <c r="AL185" s="17">
        <f t="shared" si="214"/>
        <v>0</v>
      </c>
      <c r="AN185" s="33">
        <v>21</v>
      </c>
      <c r="AO185" s="33">
        <f t="shared" si="224"/>
        <v>0</v>
      </c>
      <c r="AP185" s="33">
        <f t="shared" si="225"/>
        <v>0</v>
      </c>
      <c r="AQ185" s="29" t="s">
        <v>6</v>
      </c>
      <c r="AV185" s="33">
        <f t="shared" si="215"/>
        <v>0</v>
      </c>
      <c r="AW185" s="33">
        <f t="shared" si="216"/>
        <v>0</v>
      </c>
      <c r="AX185" s="33">
        <f t="shared" si="217"/>
        <v>0</v>
      </c>
      <c r="AY185" s="34" t="s">
        <v>574</v>
      </c>
      <c r="AZ185" s="34" t="s">
        <v>594</v>
      </c>
      <c r="BA185" s="25" t="s">
        <v>602</v>
      </c>
      <c r="BC185" s="33">
        <f t="shared" si="218"/>
        <v>0</v>
      </c>
      <c r="BD185" s="33">
        <f t="shared" si="219"/>
        <v>0</v>
      </c>
      <c r="BE185" s="33">
        <v>0</v>
      </c>
      <c r="BF185" s="33">
        <f t="shared" si="220"/>
        <v>0.048</v>
      </c>
      <c r="BH185" s="17">
        <f t="shared" si="221"/>
        <v>0</v>
      </c>
      <c r="BI185" s="17">
        <f t="shared" si="222"/>
        <v>0</v>
      </c>
      <c r="BJ185" s="17">
        <f t="shared" si="223"/>
        <v>0</v>
      </c>
    </row>
    <row r="186" spans="1:62" ht="12.75">
      <c r="A186" s="82" t="s">
        <v>154</v>
      </c>
      <c r="B186" s="82" t="s">
        <v>199</v>
      </c>
      <c r="C186" s="82" t="s">
        <v>306</v>
      </c>
      <c r="D186" s="82" t="s">
        <v>469</v>
      </c>
      <c r="E186" s="82" t="s">
        <v>534</v>
      </c>
      <c r="F186" s="83">
        <v>48</v>
      </c>
      <c r="G186" s="83"/>
      <c r="H186" s="83">
        <f t="shared" si="200"/>
        <v>0</v>
      </c>
      <c r="I186" s="83">
        <f t="shared" si="201"/>
        <v>0</v>
      </c>
      <c r="J186" s="83">
        <f t="shared" si="202"/>
        <v>0</v>
      </c>
      <c r="K186" s="84">
        <f>IF(J250=0,0,J186/J250)</f>
        <v>0</v>
      </c>
      <c r="L186" s="83">
        <v>0.00096</v>
      </c>
      <c r="M186" s="83">
        <f t="shared" si="203"/>
        <v>0.04608</v>
      </c>
      <c r="N186" s="85" t="s">
        <v>559</v>
      </c>
      <c r="Z186" s="33">
        <f t="shared" si="204"/>
        <v>0</v>
      </c>
      <c r="AB186" s="33">
        <f t="shared" si="205"/>
        <v>0</v>
      </c>
      <c r="AC186" s="33">
        <f t="shared" si="206"/>
        <v>0</v>
      </c>
      <c r="AD186" s="33">
        <f t="shared" si="207"/>
        <v>0</v>
      </c>
      <c r="AE186" s="33">
        <f t="shared" si="208"/>
        <v>0</v>
      </c>
      <c r="AF186" s="33">
        <f t="shared" si="209"/>
        <v>0</v>
      </c>
      <c r="AG186" s="33">
        <f t="shared" si="210"/>
        <v>0</v>
      </c>
      <c r="AH186" s="33">
        <f t="shared" si="211"/>
        <v>0</v>
      </c>
      <c r="AI186" s="25" t="s">
        <v>199</v>
      </c>
      <c r="AJ186" s="17">
        <f t="shared" si="212"/>
        <v>0</v>
      </c>
      <c r="AK186" s="17">
        <f t="shared" si="213"/>
        <v>0</v>
      </c>
      <c r="AL186" s="17">
        <f t="shared" si="214"/>
        <v>0</v>
      </c>
      <c r="AN186" s="33">
        <v>21</v>
      </c>
      <c r="AO186" s="33">
        <f t="shared" si="224"/>
        <v>0</v>
      </c>
      <c r="AP186" s="33">
        <f t="shared" si="225"/>
        <v>0</v>
      </c>
      <c r="AQ186" s="29" t="s">
        <v>6</v>
      </c>
      <c r="AV186" s="33">
        <f t="shared" si="215"/>
        <v>0</v>
      </c>
      <c r="AW186" s="33">
        <f t="shared" si="216"/>
        <v>0</v>
      </c>
      <c r="AX186" s="33">
        <f t="shared" si="217"/>
        <v>0</v>
      </c>
      <c r="AY186" s="34" t="s">
        <v>574</v>
      </c>
      <c r="AZ186" s="34" t="s">
        <v>594</v>
      </c>
      <c r="BA186" s="25" t="s">
        <v>602</v>
      </c>
      <c r="BC186" s="33">
        <f t="shared" si="218"/>
        <v>0</v>
      </c>
      <c r="BD186" s="33">
        <f t="shared" si="219"/>
        <v>0</v>
      </c>
      <c r="BE186" s="33">
        <v>0</v>
      </c>
      <c r="BF186" s="33">
        <f t="shared" si="220"/>
        <v>0.04608</v>
      </c>
      <c r="BH186" s="17">
        <f t="shared" si="221"/>
        <v>0</v>
      </c>
      <c r="BI186" s="17">
        <f t="shared" si="222"/>
        <v>0</v>
      </c>
      <c r="BJ186" s="17">
        <f t="shared" si="223"/>
        <v>0</v>
      </c>
    </row>
    <row r="187" spans="1:62" ht="12.75">
      <c r="A187" s="86" t="s">
        <v>155</v>
      </c>
      <c r="B187" s="86" t="s">
        <v>199</v>
      </c>
      <c r="C187" s="86" t="s">
        <v>307</v>
      </c>
      <c r="D187" s="86" t="s">
        <v>470</v>
      </c>
      <c r="E187" s="86" t="s">
        <v>534</v>
      </c>
      <c r="F187" s="87">
        <v>244</v>
      </c>
      <c r="G187" s="87"/>
      <c r="H187" s="87">
        <f t="shared" si="200"/>
        <v>0</v>
      </c>
      <c r="I187" s="87">
        <f t="shared" si="201"/>
        <v>0</v>
      </c>
      <c r="J187" s="87">
        <f t="shared" si="202"/>
        <v>0</v>
      </c>
      <c r="K187" s="88">
        <f>IF(J250=0,0,J187/J250)</f>
        <v>0</v>
      </c>
      <c r="L187" s="87">
        <v>3E-05</v>
      </c>
      <c r="M187" s="87">
        <f t="shared" si="203"/>
        <v>0.00732</v>
      </c>
      <c r="N187" s="89" t="s">
        <v>559</v>
      </c>
      <c r="Z187" s="33">
        <f t="shared" si="204"/>
        <v>0</v>
      </c>
      <c r="AB187" s="33">
        <f t="shared" si="205"/>
        <v>0</v>
      </c>
      <c r="AC187" s="33">
        <f t="shared" si="206"/>
        <v>0</v>
      </c>
      <c r="AD187" s="33">
        <f t="shared" si="207"/>
        <v>0</v>
      </c>
      <c r="AE187" s="33">
        <f t="shared" si="208"/>
        <v>0</v>
      </c>
      <c r="AF187" s="33">
        <f t="shared" si="209"/>
        <v>0</v>
      </c>
      <c r="AG187" s="33">
        <f t="shared" si="210"/>
        <v>0</v>
      </c>
      <c r="AH187" s="33">
        <f t="shared" si="211"/>
        <v>0</v>
      </c>
      <c r="AI187" s="25" t="s">
        <v>199</v>
      </c>
      <c r="AJ187" s="18">
        <f t="shared" si="212"/>
        <v>0</v>
      </c>
      <c r="AK187" s="18">
        <f t="shared" si="213"/>
        <v>0</v>
      </c>
      <c r="AL187" s="18">
        <f t="shared" si="214"/>
        <v>0</v>
      </c>
      <c r="AN187" s="33">
        <v>21</v>
      </c>
      <c r="AO187" s="33">
        <f>G187*0.0073328324567994</f>
        <v>0</v>
      </c>
      <c r="AP187" s="33">
        <f>G187*(1-0.0073328324567994)</f>
        <v>0</v>
      </c>
      <c r="AQ187" s="30" t="s">
        <v>6</v>
      </c>
      <c r="AV187" s="33">
        <f t="shared" si="215"/>
        <v>0</v>
      </c>
      <c r="AW187" s="33">
        <f t="shared" si="216"/>
        <v>0</v>
      </c>
      <c r="AX187" s="33">
        <f t="shared" si="217"/>
        <v>0</v>
      </c>
      <c r="AY187" s="34" t="s">
        <v>574</v>
      </c>
      <c r="AZ187" s="34" t="s">
        <v>594</v>
      </c>
      <c r="BA187" s="25" t="s">
        <v>602</v>
      </c>
      <c r="BC187" s="33">
        <f t="shared" si="218"/>
        <v>0</v>
      </c>
      <c r="BD187" s="33">
        <f t="shared" si="219"/>
        <v>0</v>
      </c>
      <c r="BE187" s="33">
        <v>0</v>
      </c>
      <c r="BF187" s="33">
        <f t="shared" si="220"/>
        <v>0.00732</v>
      </c>
      <c r="BH187" s="18">
        <f t="shared" si="221"/>
        <v>0</v>
      </c>
      <c r="BI187" s="18">
        <f t="shared" si="222"/>
        <v>0</v>
      </c>
      <c r="BJ187" s="18">
        <f t="shared" si="223"/>
        <v>0</v>
      </c>
    </row>
    <row r="188" spans="1:62" ht="12.75">
      <c r="A188" s="82" t="s">
        <v>156</v>
      </c>
      <c r="B188" s="82" t="s">
        <v>199</v>
      </c>
      <c r="C188" s="82" t="s">
        <v>308</v>
      </c>
      <c r="D188" s="82" t="s">
        <v>471</v>
      </c>
      <c r="E188" s="82" t="s">
        <v>534</v>
      </c>
      <c r="F188" s="83">
        <v>24</v>
      </c>
      <c r="G188" s="83"/>
      <c r="H188" s="83">
        <f t="shared" si="200"/>
        <v>0</v>
      </c>
      <c r="I188" s="83">
        <f t="shared" si="201"/>
        <v>0</v>
      </c>
      <c r="J188" s="83">
        <f t="shared" si="202"/>
        <v>0</v>
      </c>
      <c r="K188" s="84">
        <f>IF(J250=0,0,J188/J250)</f>
        <v>0</v>
      </c>
      <c r="L188" s="83">
        <v>0.00089</v>
      </c>
      <c r="M188" s="83">
        <f t="shared" si="203"/>
        <v>0.021359999999999997</v>
      </c>
      <c r="N188" s="85" t="s">
        <v>559</v>
      </c>
      <c r="Z188" s="33">
        <f t="shared" si="204"/>
        <v>0</v>
      </c>
      <c r="AB188" s="33">
        <f t="shared" si="205"/>
        <v>0</v>
      </c>
      <c r="AC188" s="33">
        <f t="shared" si="206"/>
        <v>0</v>
      </c>
      <c r="AD188" s="33">
        <f t="shared" si="207"/>
        <v>0</v>
      </c>
      <c r="AE188" s="33">
        <f t="shared" si="208"/>
        <v>0</v>
      </c>
      <c r="AF188" s="33">
        <f t="shared" si="209"/>
        <v>0</v>
      </c>
      <c r="AG188" s="33">
        <f t="shared" si="210"/>
        <v>0</v>
      </c>
      <c r="AH188" s="33">
        <f t="shared" si="211"/>
        <v>0</v>
      </c>
      <c r="AI188" s="25" t="s">
        <v>199</v>
      </c>
      <c r="AJ188" s="17">
        <f t="shared" si="212"/>
        <v>0</v>
      </c>
      <c r="AK188" s="17">
        <f t="shared" si="213"/>
        <v>0</v>
      </c>
      <c r="AL188" s="17">
        <f t="shared" si="214"/>
        <v>0</v>
      </c>
      <c r="AN188" s="33">
        <v>21</v>
      </c>
      <c r="AO188" s="33">
        <f>G188*1</f>
        <v>0</v>
      </c>
      <c r="AP188" s="33">
        <f>G188*(1-1)</f>
        <v>0</v>
      </c>
      <c r="AQ188" s="29" t="s">
        <v>6</v>
      </c>
      <c r="AV188" s="33">
        <f t="shared" si="215"/>
        <v>0</v>
      </c>
      <c r="AW188" s="33">
        <f t="shared" si="216"/>
        <v>0</v>
      </c>
      <c r="AX188" s="33">
        <f t="shared" si="217"/>
        <v>0</v>
      </c>
      <c r="AY188" s="34" t="s">
        <v>574</v>
      </c>
      <c r="AZ188" s="34" t="s">
        <v>594</v>
      </c>
      <c r="BA188" s="25" t="s">
        <v>602</v>
      </c>
      <c r="BC188" s="33">
        <f t="shared" si="218"/>
        <v>0</v>
      </c>
      <c r="BD188" s="33">
        <f t="shared" si="219"/>
        <v>0</v>
      </c>
      <c r="BE188" s="33">
        <v>0</v>
      </c>
      <c r="BF188" s="33">
        <f t="shared" si="220"/>
        <v>0.021359999999999997</v>
      </c>
      <c r="BH188" s="17">
        <f t="shared" si="221"/>
        <v>0</v>
      </c>
      <c r="BI188" s="17">
        <f t="shared" si="222"/>
        <v>0</v>
      </c>
      <c r="BJ188" s="17">
        <f t="shared" si="223"/>
        <v>0</v>
      </c>
    </row>
    <row r="189" spans="1:62" ht="12.75">
      <c r="A189" s="82" t="s">
        <v>157</v>
      </c>
      <c r="B189" s="82" t="s">
        <v>199</v>
      </c>
      <c r="C189" s="82" t="s">
        <v>309</v>
      </c>
      <c r="D189" s="82" t="s">
        <v>472</v>
      </c>
      <c r="E189" s="82" t="s">
        <v>534</v>
      </c>
      <c r="F189" s="83">
        <v>11</v>
      </c>
      <c r="G189" s="83"/>
      <c r="H189" s="83">
        <f t="shared" si="200"/>
        <v>0</v>
      </c>
      <c r="I189" s="83">
        <f t="shared" si="201"/>
        <v>0</v>
      </c>
      <c r="J189" s="83">
        <f t="shared" si="202"/>
        <v>0</v>
      </c>
      <c r="K189" s="84">
        <f>IF(J250=0,0,J189/J250)</f>
        <v>0</v>
      </c>
      <c r="L189" s="83">
        <v>0.00159</v>
      </c>
      <c r="M189" s="83">
        <f t="shared" si="203"/>
        <v>0.017490000000000002</v>
      </c>
      <c r="N189" s="85" t="s">
        <v>559</v>
      </c>
      <c r="Z189" s="33">
        <f t="shared" si="204"/>
        <v>0</v>
      </c>
      <c r="AB189" s="33">
        <f t="shared" si="205"/>
        <v>0</v>
      </c>
      <c r="AC189" s="33">
        <f t="shared" si="206"/>
        <v>0</v>
      </c>
      <c r="AD189" s="33">
        <f t="shared" si="207"/>
        <v>0</v>
      </c>
      <c r="AE189" s="33">
        <f t="shared" si="208"/>
        <v>0</v>
      </c>
      <c r="AF189" s="33">
        <f t="shared" si="209"/>
        <v>0</v>
      </c>
      <c r="AG189" s="33">
        <f t="shared" si="210"/>
        <v>0</v>
      </c>
      <c r="AH189" s="33">
        <f t="shared" si="211"/>
        <v>0</v>
      </c>
      <c r="AI189" s="25" t="s">
        <v>199</v>
      </c>
      <c r="AJ189" s="17">
        <f t="shared" si="212"/>
        <v>0</v>
      </c>
      <c r="AK189" s="17">
        <f t="shared" si="213"/>
        <v>0</v>
      </c>
      <c r="AL189" s="17">
        <f t="shared" si="214"/>
        <v>0</v>
      </c>
      <c r="AN189" s="33">
        <v>21</v>
      </c>
      <c r="AO189" s="33">
        <f>G189*1</f>
        <v>0</v>
      </c>
      <c r="AP189" s="33">
        <f>G189*(1-1)</f>
        <v>0</v>
      </c>
      <c r="AQ189" s="29" t="s">
        <v>6</v>
      </c>
      <c r="AV189" s="33">
        <f t="shared" si="215"/>
        <v>0</v>
      </c>
      <c r="AW189" s="33">
        <f t="shared" si="216"/>
        <v>0</v>
      </c>
      <c r="AX189" s="33">
        <f t="shared" si="217"/>
        <v>0</v>
      </c>
      <c r="AY189" s="34" t="s">
        <v>574</v>
      </c>
      <c r="AZ189" s="34" t="s">
        <v>594</v>
      </c>
      <c r="BA189" s="25" t="s">
        <v>602</v>
      </c>
      <c r="BC189" s="33">
        <f t="shared" si="218"/>
        <v>0</v>
      </c>
      <c r="BD189" s="33">
        <f t="shared" si="219"/>
        <v>0</v>
      </c>
      <c r="BE189" s="33">
        <v>0</v>
      </c>
      <c r="BF189" s="33">
        <f t="shared" si="220"/>
        <v>0.017490000000000002</v>
      </c>
      <c r="BH189" s="17">
        <f t="shared" si="221"/>
        <v>0</v>
      </c>
      <c r="BI189" s="17">
        <f t="shared" si="222"/>
        <v>0</v>
      </c>
      <c r="BJ189" s="17">
        <f t="shared" si="223"/>
        <v>0</v>
      </c>
    </row>
    <row r="190" spans="1:47" ht="12.75">
      <c r="A190" s="90"/>
      <c r="B190" s="91" t="s">
        <v>199</v>
      </c>
      <c r="C190" s="91" t="s">
        <v>27</v>
      </c>
      <c r="D190" s="91" t="s">
        <v>473</v>
      </c>
      <c r="E190" s="90" t="s">
        <v>5</v>
      </c>
      <c r="F190" s="90" t="s">
        <v>5</v>
      </c>
      <c r="G190" s="90"/>
      <c r="H190" s="92">
        <f>SUM(H191:H200)</f>
        <v>0</v>
      </c>
      <c r="I190" s="92">
        <f>SUM(I191:I200)</f>
        <v>0</v>
      </c>
      <c r="J190" s="92">
        <f>SUM(J191:J200)</f>
        <v>0</v>
      </c>
      <c r="K190" s="93">
        <f>IF(J250=0,0,J190/J250)</f>
        <v>0</v>
      </c>
      <c r="L190" s="94"/>
      <c r="M190" s="92">
        <f>SUM(M191:M200)</f>
        <v>46.30739</v>
      </c>
      <c r="N190" s="94"/>
      <c r="AI190" s="25" t="s">
        <v>199</v>
      </c>
      <c r="AS190" s="36">
        <f>SUM(AJ191:AJ200)</f>
        <v>0</v>
      </c>
      <c r="AT190" s="36">
        <f>SUM(AK191:AK200)</f>
        <v>0</v>
      </c>
      <c r="AU190" s="36">
        <f>SUM(AL191:AL200)</f>
        <v>0</v>
      </c>
    </row>
    <row r="191" spans="1:62" ht="12.75">
      <c r="A191" s="82" t="s">
        <v>158</v>
      </c>
      <c r="B191" s="82" t="s">
        <v>199</v>
      </c>
      <c r="C191" s="82" t="s">
        <v>284</v>
      </c>
      <c r="D191" s="82" t="s">
        <v>474</v>
      </c>
      <c r="E191" s="82" t="s">
        <v>526</v>
      </c>
      <c r="F191" s="83">
        <v>453.15</v>
      </c>
      <c r="G191" s="83"/>
      <c r="H191" s="83">
        <f>F191*AO191</f>
        <v>0</v>
      </c>
      <c r="I191" s="83">
        <f>F191*AP191</f>
        <v>0</v>
      </c>
      <c r="J191" s="83">
        <f>F191*G191</f>
        <v>0</v>
      </c>
      <c r="K191" s="84">
        <f>IF(J250=0,0,J191/J250)</f>
        <v>0</v>
      </c>
      <c r="L191" s="83">
        <v>0</v>
      </c>
      <c r="M191" s="83">
        <f>F191*L191</f>
        <v>0</v>
      </c>
      <c r="N191" s="85"/>
      <c r="Z191" s="33">
        <f>IF(AQ191="5",BJ191,0)</f>
        <v>0</v>
      </c>
      <c r="AB191" s="33">
        <f>IF(AQ191="1",BH191,0)</f>
        <v>0</v>
      </c>
      <c r="AC191" s="33">
        <f>IF(AQ191="1",BI191,0)</f>
        <v>0</v>
      </c>
      <c r="AD191" s="33">
        <f>IF(AQ191="7",BH191,0)</f>
        <v>0</v>
      </c>
      <c r="AE191" s="33">
        <f>IF(AQ191="7",BI191,0)</f>
        <v>0</v>
      </c>
      <c r="AF191" s="33">
        <f>IF(AQ191="2",BH191,0)</f>
        <v>0</v>
      </c>
      <c r="AG191" s="33">
        <f>IF(AQ191="2",BI191,0)</f>
        <v>0</v>
      </c>
      <c r="AH191" s="33">
        <f>IF(AQ191="0",BJ191,0)</f>
        <v>0</v>
      </c>
      <c r="AI191" s="25" t="s">
        <v>199</v>
      </c>
      <c r="AJ191" s="17">
        <f>IF(AN191=0,J191,0)</f>
        <v>0</v>
      </c>
      <c r="AK191" s="17">
        <f>IF(AN191=15,J191,0)</f>
        <v>0</v>
      </c>
      <c r="AL191" s="17">
        <f>IF(AN191=21,J191,0)</f>
        <v>0</v>
      </c>
      <c r="AN191" s="33">
        <v>21</v>
      </c>
      <c r="AO191" s="33">
        <f>G191*1</f>
        <v>0</v>
      </c>
      <c r="AP191" s="33">
        <f>G191*(1-1)</f>
        <v>0</v>
      </c>
      <c r="AQ191" s="29" t="s">
        <v>6</v>
      </c>
      <c r="AV191" s="33">
        <f>AW191+AX191</f>
        <v>0</v>
      </c>
      <c r="AW191" s="33">
        <f>F191*AO191</f>
        <v>0</v>
      </c>
      <c r="AX191" s="33">
        <f>F191*AP191</f>
        <v>0</v>
      </c>
      <c r="AY191" s="34" t="s">
        <v>578</v>
      </c>
      <c r="AZ191" s="34" t="s">
        <v>592</v>
      </c>
      <c r="BA191" s="25" t="s">
        <v>602</v>
      </c>
      <c r="BC191" s="33">
        <f>AW191+AX191</f>
        <v>0</v>
      </c>
      <c r="BD191" s="33">
        <f>G191/(100-BE191)*100</f>
        <v>0</v>
      </c>
      <c r="BE191" s="33">
        <v>0</v>
      </c>
      <c r="BF191" s="33">
        <f>M191</f>
        <v>0</v>
      </c>
      <c r="BH191" s="17">
        <f>F191*AO191</f>
        <v>0</v>
      </c>
      <c r="BI191" s="17">
        <f>F191*AP191</f>
        <v>0</v>
      </c>
      <c r="BJ191" s="17">
        <f>F191*G191</f>
        <v>0</v>
      </c>
    </row>
    <row r="192" spans="1:62" ht="12.75">
      <c r="A192" s="86" t="s">
        <v>159</v>
      </c>
      <c r="B192" s="86" t="s">
        <v>199</v>
      </c>
      <c r="C192" s="86" t="s">
        <v>310</v>
      </c>
      <c r="D192" s="86" t="s">
        <v>475</v>
      </c>
      <c r="E192" s="86" t="s">
        <v>534</v>
      </c>
      <c r="F192" s="87">
        <v>8</v>
      </c>
      <c r="G192" s="87"/>
      <c r="H192" s="87">
        <f>F192*AO192</f>
        <v>0</v>
      </c>
      <c r="I192" s="87">
        <f>F192*AP192</f>
        <v>0</v>
      </c>
      <c r="J192" s="87">
        <f>F192*G192</f>
        <v>0</v>
      </c>
      <c r="K192" s="88">
        <f>IF(J250=0,0,J192/J250)</f>
        <v>0</v>
      </c>
      <c r="L192" s="87">
        <v>4.45901</v>
      </c>
      <c r="M192" s="87">
        <f>F192*L192</f>
        <v>35.67208</v>
      </c>
      <c r="N192" s="89" t="s">
        <v>559</v>
      </c>
      <c r="Z192" s="33">
        <f>IF(AQ192="5",BJ192,0)</f>
        <v>0</v>
      </c>
      <c r="AB192" s="33">
        <f>IF(AQ192="1",BH192,0)</f>
        <v>0</v>
      </c>
      <c r="AC192" s="33">
        <f>IF(AQ192="1",BI192,0)</f>
        <v>0</v>
      </c>
      <c r="AD192" s="33">
        <f>IF(AQ192="7",BH192,0)</f>
        <v>0</v>
      </c>
      <c r="AE192" s="33">
        <f>IF(AQ192="7",BI192,0)</f>
        <v>0</v>
      </c>
      <c r="AF192" s="33">
        <f>IF(AQ192="2",BH192,0)</f>
        <v>0</v>
      </c>
      <c r="AG192" s="33">
        <f>IF(AQ192="2",BI192,0)</f>
        <v>0</v>
      </c>
      <c r="AH192" s="33">
        <f>IF(AQ192="0",BJ192,0)</f>
        <v>0</v>
      </c>
      <c r="AI192" s="25" t="s">
        <v>199</v>
      </c>
      <c r="AJ192" s="18">
        <f>IF(AN192=0,J192,0)</f>
        <v>0</v>
      </c>
      <c r="AK192" s="18">
        <f>IF(AN192=15,J192,0)</f>
        <v>0</v>
      </c>
      <c r="AL192" s="18">
        <f>IF(AN192=21,J192,0)</f>
        <v>0</v>
      </c>
      <c r="AN192" s="33">
        <v>21</v>
      </c>
      <c r="AO192" s="33">
        <f>G192*0.804331311599697</f>
        <v>0</v>
      </c>
      <c r="AP192" s="33">
        <f>G192*(1-0.804331311599697)</f>
        <v>0</v>
      </c>
      <c r="AQ192" s="30" t="s">
        <v>6</v>
      </c>
      <c r="AV192" s="33">
        <f>AW192+AX192</f>
        <v>0</v>
      </c>
      <c r="AW192" s="33">
        <f>F192*AO192</f>
        <v>0</v>
      </c>
      <c r="AX192" s="33">
        <f>F192*AP192</f>
        <v>0</v>
      </c>
      <c r="AY192" s="34" t="s">
        <v>578</v>
      </c>
      <c r="AZ192" s="34" t="s">
        <v>592</v>
      </c>
      <c r="BA192" s="25" t="s">
        <v>602</v>
      </c>
      <c r="BC192" s="33">
        <f>AW192+AX192</f>
        <v>0</v>
      </c>
      <c r="BD192" s="33">
        <f>G192/(100-BE192)*100</f>
        <v>0</v>
      </c>
      <c r="BE192" s="33">
        <v>0</v>
      </c>
      <c r="BF192" s="33">
        <f>M192</f>
        <v>35.67208</v>
      </c>
      <c r="BH192" s="18">
        <f>F192*AO192</f>
        <v>0</v>
      </c>
      <c r="BI192" s="18">
        <f>F192*AP192</f>
        <v>0</v>
      </c>
      <c r="BJ192" s="18">
        <f>F192*G192</f>
        <v>0</v>
      </c>
    </row>
    <row r="193" spans="1:14" ht="12.75">
      <c r="A193" s="95"/>
      <c r="B193" s="95"/>
      <c r="C193" s="95"/>
      <c r="D193" s="96" t="s">
        <v>476</v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1:62" ht="12.75">
      <c r="A194" s="86" t="s">
        <v>160</v>
      </c>
      <c r="B194" s="86" t="s">
        <v>199</v>
      </c>
      <c r="C194" s="86" t="s">
        <v>311</v>
      </c>
      <c r="D194" s="86" t="s">
        <v>477</v>
      </c>
      <c r="E194" s="86" t="s">
        <v>534</v>
      </c>
      <c r="F194" s="87">
        <v>13</v>
      </c>
      <c r="G194" s="87"/>
      <c r="H194" s="87">
        <f>F194*AO194</f>
        <v>0</v>
      </c>
      <c r="I194" s="87">
        <f>F194*AP194</f>
        <v>0</v>
      </c>
      <c r="J194" s="87">
        <f>F194*G194</f>
        <v>0</v>
      </c>
      <c r="K194" s="88">
        <f>IF(J250=0,0,J194/J250)</f>
        <v>0</v>
      </c>
      <c r="L194" s="87">
        <v>0.81765</v>
      </c>
      <c r="M194" s="87">
        <f>F194*L194</f>
        <v>10.62945</v>
      </c>
      <c r="N194" s="89" t="s">
        <v>560</v>
      </c>
      <c r="Z194" s="33">
        <f>IF(AQ194="5",BJ194,0)</f>
        <v>0</v>
      </c>
      <c r="AB194" s="33">
        <f>IF(AQ194="1",BH194,0)</f>
        <v>0</v>
      </c>
      <c r="AC194" s="33">
        <f>IF(AQ194="1",BI194,0)</f>
        <v>0</v>
      </c>
      <c r="AD194" s="33">
        <f>IF(AQ194="7",BH194,0)</f>
        <v>0</v>
      </c>
      <c r="AE194" s="33">
        <f>IF(AQ194="7",BI194,0)</f>
        <v>0</v>
      </c>
      <c r="AF194" s="33">
        <f>IF(AQ194="2",BH194,0)</f>
        <v>0</v>
      </c>
      <c r="AG194" s="33">
        <f>IF(AQ194="2",BI194,0)</f>
        <v>0</v>
      </c>
      <c r="AH194" s="33">
        <f>IF(AQ194="0",BJ194,0)</f>
        <v>0</v>
      </c>
      <c r="AI194" s="25" t="s">
        <v>199</v>
      </c>
      <c r="AJ194" s="18">
        <f>IF(AN194=0,J194,0)</f>
        <v>0</v>
      </c>
      <c r="AK194" s="18">
        <f>IF(AN194=15,J194,0)</f>
        <v>0</v>
      </c>
      <c r="AL194" s="18">
        <f>IF(AN194=21,J194,0)</f>
        <v>0</v>
      </c>
      <c r="AN194" s="33">
        <v>21</v>
      </c>
      <c r="AO194" s="33">
        <f>G194*0.772778231292517</f>
        <v>0</v>
      </c>
      <c r="AP194" s="33">
        <f>G194*(1-0.772778231292517)</f>
        <v>0</v>
      </c>
      <c r="AQ194" s="30" t="s">
        <v>6</v>
      </c>
      <c r="AV194" s="33">
        <f>AW194+AX194</f>
        <v>0</v>
      </c>
      <c r="AW194" s="33">
        <f>F194*AO194</f>
        <v>0</v>
      </c>
      <c r="AX194" s="33">
        <f>F194*AP194</f>
        <v>0</v>
      </c>
      <c r="AY194" s="34" t="s">
        <v>578</v>
      </c>
      <c r="AZ194" s="34" t="s">
        <v>592</v>
      </c>
      <c r="BA194" s="25" t="s">
        <v>602</v>
      </c>
      <c r="BC194" s="33">
        <f>AW194+AX194</f>
        <v>0</v>
      </c>
      <c r="BD194" s="33">
        <f>G194/(100-BE194)*100</f>
        <v>0</v>
      </c>
      <c r="BE194" s="33">
        <v>0</v>
      </c>
      <c r="BF194" s="33">
        <f>M194</f>
        <v>10.62945</v>
      </c>
      <c r="BH194" s="18">
        <f>F194*AO194</f>
        <v>0</v>
      </c>
      <c r="BI194" s="18">
        <f>F194*AP194</f>
        <v>0</v>
      </c>
      <c r="BJ194" s="18">
        <f>F194*G194</f>
        <v>0</v>
      </c>
    </row>
    <row r="195" spans="1:14" ht="12.75">
      <c r="A195" s="95"/>
      <c r="B195" s="95"/>
      <c r="C195" s="95"/>
      <c r="D195" s="96" t="s">
        <v>478</v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1:62" ht="12.75">
      <c r="A196" s="86" t="s">
        <v>161</v>
      </c>
      <c r="B196" s="86" t="s">
        <v>199</v>
      </c>
      <c r="C196" s="86" t="s">
        <v>312</v>
      </c>
      <c r="D196" s="86" t="s">
        <v>479</v>
      </c>
      <c r="E196" s="86" t="s">
        <v>536</v>
      </c>
      <c r="F196" s="87">
        <v>16</v>
      </c>
      <c r="G196" s="87"/>
      <c r="H196" s="87">
        <f>F196*AO196</f>
        <v>0</v>
      </c>
      <c r="I196" s="87">
        <f>F196*AP196</f>
        <v>0</v>
      </c>
      <c r="J196" s="87">
        <f>F196*G196</f>
        <v>0</v>
      </c>
      <c r="K196" s="88">
        <f>IF(J250=0,0,J196/J250)</f>
        <v>0</v>
      </c>
      <c r="L196" s="87">
        <v>0.00032</v>
      </c>
      <c r="M196" s="87">
        <f>F196*L196</f>
        <v>0.00512</v>
      </c>
      <c r="N196" s="89" t="s">
        <v>559</v>
      </c>
      <c r="Z196" s="33">
        <f>IF(AQ196="5",BJ196,0)</f>
        <v>0</v>
      </c>
      <c r="AB196" s="33">
        <f>IF(AQ196="1",BH196,0)</f>
        <v>0</v>
      </c>
      <c r="AC196" s="33">
        <f>IF(AQ196="1",BI196,0)</f>
        <v>0</v>
      </c>
      <c r="AD196" s="33">
        <f>IF(AQ196="7",BH196,0)</f>
        <v>0</v>
      </c>
      <c r="AE196" s="33">
        <f>IF(AQ196="7",BI196,0)</f>
        <v>0</v>
      </c>
      <c r="AF196" s="33">
        <f>IF(AQ196="2",BH196,0)</f>
        <v>0</v>
      </c>
      <c r="AG196" s="33">
        <f>IF(AQ196="2",BI196,0)</f>
        <v>0</v>
      </c>
      <c r="AH196" s="33">
        <f>IF(AQ196="0",BJ196,0)</f>
        <v>0</v>
      </c>
      <c r="AI196" s="25" t="s">
        <v>199</v>
      </c>
      <c r="AJ196" s="18">
        <f>IF(AN196=0,J196,0)</f>
        <v>0</v>
      </c>
      <c r="AK196" s="18">
        <f>IF(AN196=15,J196,0)</f>
        <v>0</v>
      </c>
      <c r="AL196" s="18">
        <f>IF(AN196=21,J196,0)</f>
        <v>0</v>
      </c>
      <c r="AN196" s="33">
        <v>21</v>
      </c>
      <c r="AO196" s="33">
        <f>G196*0.171838604143948</f>
        <v>0</v>
      </c>
      <c r="AP196" s="33">
        <f>G196*(1-0.171838604143948)</f>
        <v>0</v>
      </c>
      <c r="AQ196" s="30" t="s">
        <v>6</v>
      </c>
      <c r="AV196" s="33">
        <f>AW196+AX196</f>
        <v>0</v>
      </c>
      <c r="AW196" s="33">
        <f>F196*AO196</f>
        <v>0</v>
      </c>
      <c r="AX196" s="33">
        <f>F196*AP196</f>
        <v>0</v>
      </c>
      <c r="AY196" s="34" t="s">
        <v>578</v>
      </c>
      <c r="AZ196" s="34" t="s">
        <v>592</v>
      </c>
      <c r="BA196" s="25" t="s">
        <v>602</v>
      </c>
      <c r="BC196" s="33">
        <f>AW196+AX196</f>
        <v>0</v>
      </c>
      <c r="BD196" s="33">
        <f>G196/(100-BE196)*100</f>
        <v>0</v>
      </c>
      <c r="BE196" s="33">
        <v>0</v>
      </c>
      <c r="BF196" s="33">
        <f>M196</f>
        <v>0.00512</v>
      </c>
      <c r="BH196" s="18">
        <f>F196*AO196</f>
        <v>0</v>
      </c>
      <c r="BI196" s="18">
        <f>F196*AP196</f>
        <v>0</v>
      </c>
      <c r="BJ196" s="18">
        <f>F196*G196</f>
        <v>0</v>
      </c>
    </row>
    <row r="197" spans="1:62" ht="12.75">
      <c r="A197" s="86" t="s">
        <v>162</v>
      </c>
      <c r="B197" s="86" t="s">
        <v>199</v>
      </c>
      <c r="C197" s="86" t="s">
        <v>313</v>
      </c>
      <c r="D197" s="86" t="s">
        <v>480</v>
      </c>
      <c r="E197" s="86" t="s">
        <v>537</v>
      </c>
      <c r="F197" s="87">
        <v>37</v>
      </c>
      <c r="G197" s="87"/>
      <c r="H197" s="87">
        <f>F197*AO197</f>
        <v>0</v>
      </c>
      <c r="I197" s="87">
        <f>F197*AP197</f>
        <v>0</v>
      </c>
      <c r="J197" s="87">
        <f>F197*G197</f>
        <v>0</v>
      </c>
      <c r="K197" s="88">
        <f>IF(J250=0,0,J197/J250)</f>
        <v>0</v>
      </c>
      <c r="L197" s="87">
        <v>2E-05</v>
      </c>
      <c r="M197" s="87">
        <f>F197*L197</f>
        <v>0.0007400000000000001</v>
      </c>
      <c r="N197" s="89" t="s">
        <v>559</v>
      </c>
      <c r="Z197" s="33">
        <f>IF(AQ197="5",BJ197,0)</f>
        <v>0</v>
      </c>
      <c r="AB197" s="33">
        <f>IF(AQ197="1",BH197,0)</f>
        <v>0</v>
      </c>
      <c r="AC197" s="33">
        <f>IF(AQ197="1",BI197,0)</f>
        <v>0</v>
      </c>
      <c r="AD197" s="33">
        <f>IF(AQ197="7",BH197,0)</f>
        <v>0</v>
      </c>
      <c r="AE197" s="33">
        <f>IF(AQ197="7",BI197,0)</f>
        <v>0</v>
      </c>
      <c r="AF197" s="33">
        <f>IF(AQ197="2",BH197,0)</f>
        <v>0</v>
      </c>
      <c r="AG197" s="33">
        <f>IF(AQ197="2",BI197,0)</f>
        <v>0</v>
      </c>
      <c r="AH197" s="33">
        <f>IF(AQ197="0",BJ197,0)</f>
        <v>0</v>
      </c>
      <c r="AI197" s="25" t="s">
        <v>199</v>
      </c>
      <c r="AJ197" s="18">
        <f>IF(AN197=0,J197,0)</f>
        <v>0</v>
      </c>
      <c r="AK197" s="18">
        <f>IF(AN197=15,J197,0)</f>
        <v>0</v>
      </c>
      <c r="AL197" s="18">
        <f>IF(AN197=21,J197,0)</f>
        <v>0</v>
      </c>
      <c r="AN197" s="33">
        <v>21</v>
      </c>
      <c r="AO197" s="33">
        <f>G197*0.330748393599597</f>
        <v>0</v>
      </c>
      <c r="AP197" s="33">
        <f>G197*(1-0.330748393599597)</f>
        <v>0</v>
      </c>
      <c r="AQ197" s="30" t="s">
        <v>6</v>
      </c>
      <c r="AV197" s="33">
        <f>AW197+AX197</f>
        <v>0</v>
      </c>
      <c r="AW197" s="33">
        <f>F197*AO197</f>
        <v>0</v>
      </c>
      <c r="AX197" s="33">
        <f>F197*AP197</f>
        <v>0</v>
      </c>
      <c r="AY197" s="34" t="s">
        <v>578</v>
      </c>
      <c r="AZ197" s="34" t="s">
        <v>592</v>
      </c>
      <c r="BA197" s="25" t="s">
        <v>602</v>
      </c>
      <c r="BC197" s="33">
        <f>AW197+AX197</f>
        <v>0</v>
      </c>
      <c r="BD197" s="33">
        <f>G197/(100-BE197)*100</f>
        <v>0</v>
      </c>
      <c r="BE197" s="33">
        <v>0</v>
      </c>
      <c r="BF197" s="33">
        <f>M197</f>
        <v>0.0007400000000000001</v>
      </c>
      <c r="BH197" s="18">
        <f>F197*AO197</f>
        <v>0</v>
      </c>
      <c r="BI197" s="18">
        <f>F197*AP197</f>
        <v>0</v>
      </c>
      <c r="BJ197" s="18">
        <f>F197*G197</f>
        <v>0</v>
      </c>
    </row>
    <row r="198" spans="1:62" ht="12.75">
      <c r="A198" s="86" t="s">
        <v>163</v>
      </c>
      <c r="B198" s="86" t="s">
        <v>199</v>
      </c>
      <c r="C198" s="86" t="s">
        <v>314</v>
      </c>
      <c r="D198" s="86" t="s">
        <v>481</v>
      </c>
      <c r="E198" s="86" t="s">
        <v>526</v>
      </c>
      <c r="F198" s="87">
        <v>453.15</v>
      </c>
      <c r="G198" s="87"/>
      <c r="H198" s="87">
        <f>F198*AO198</f>
        <v>0</v>
      </c>
      <c r="I198" s="87">
        <f>F198*AP198</f>
        <v>0</v>
      </c>
      <c r="J198" s="87">
        <f>F198*G198</f>
        <v>0</v>
      </c>
      <c r="K198" s="88">
        <f>IF(J250=0,0,J198/J250)</f>
        <v>0</v>
      </c>
      <c r="L198" s="87">
        <v>0</v>
      </c>
      <c r="M198" s="87">
        <f>F198*L198</f>
        <v>0</v>
      </c>
      <c r="N198" s="89" t="s">
        <v>559</v>
      </c>
      <c r="Z198" s="33">
        <f>IF(AQ198="5",BJ198,0)</f>
        <v>0</v>
      </c>
      <c r="AB198" s="33">
        <f>IF(AQ198="1",BH198,0)</f>
        <v>0</v>
      </c>
      <c r="AC198" s="33">
        <f>IF(AQ198="1",BI198,0)</f>
        <v>0</v>
      </c>
      <c r="AD198" s="33">
        <f>IF(AQ198="7",BH198,0)</f>
        <v>0</v>
      </c>
      <c r="AE198" s="33">
        <f>IF(AQ198="7",BI198,0)</f>
        <v>0</v>
      </c>
      <c r="AF198" s="33">
        <f>IF(AQ198="2",BH198,0)</f>
        <v>0</v>
      </c>
      <c r="AG198" s="33">
        <f>IF(AQ198="2",BI198,0)</f>
        <v>0</v>
      </c>
      <c r="AH198" s="33">
        <f>IF(AQ198="0",BJ198,0)</f>
        <v>0</v>
      </c>
      <c r="AI198" s="25" t="s">
        <v>199</v>
      </c>
      <c r="AJ198" s="18">
        <f>IF(AN198=0,J198,0)</f>
        <v>0</v>
      </c>
      <c r="AK198" s="18">
        <f>IF(AN198=15,J198,0)</f>
        <v>0</v>
      </c>
      <c r="AL198" s="18">
        <f>IF(AN198=21,J198,0)</f>
        <v>0</v>
      </c>
      <c r="AN198" s="33">
        <v>21</v>
      </c>
      <c r="AO198" s="33">
        <f>G198*0.00703862327625398</f>
        <v>0</v>
      </c>
      <c r="AP198" s="33">
        <f>G198*(1-0.00703862327625398)</f>
        <v>0</v>
      </c>
      <c r="AQ198" s="30" t="s">
        <v>6</v>
      </c>
      <c r="AV198" s="33">
        <f>AW198+AX198</f>
        <v>0</v>
      </c>
      <c r="AW198" s="33">
        <f>F198*AO198</f>
        <v>0</v>
      </c>
      <c r="AX198" s="33">
        <f>F198*AP198</f>
        <v>0</v>
      </c>
      <c r="AY198" s="34" t="s">
        <v>578</v>
      </c>
      <c r="AZ198" s="34" t="s">
        <v>592</v>
      </c>
      <c r="BA198" s="25" t="s">
        <v>602</v>
      </c>
      <c r="BC198" s="33">
        <f>AW198+AX198</f>
        <v>0</v>
      </c>
      <c r="BD198" s="33">
        <f>G198/(100-BE198)*100</f>
        <v>0</v>
      </c>
      <c r="BE198" s="33">
        <v>0</v>
      </c>
      <c r="BF198" s="33">
        <f>M198</f>
        <v>0</v>
      </c>
      <c r="BH198" s="18">
        <f>F198*AO198</f>
        <v>0</v>
      </c>
      <c r="BI198" s="18">
        <f>F198*AP198</f>
        <v>0</v>
      </c>
      <c r="BJ198" s="18">
        <f>F198*G198</f>
        <v>0</v>
      </c>
    </row>
    <row r="199" spans="1:62" ht="12.75">
      <c r="A199" s="86" t="s">
        <v>164</v>
      </c>
      <c r="B199" s="86" t="s">
        <v>199</v>
      </c>
      <c r="C199" s="86" t="s">
        <v>315</v>
      </c>
      <c r="D199" s="86" t="s">
        <v>482</v>
      </c>
      <c r="E199" s="86" t="s">
        <v>526</v>
      </c>
      <c r="F199" s="87">
        <v>453.15</v>
      </c>
      <c r="G199" s="87"/>
      <c r="H199" s="87">
        <f>F199*AO199</f>
        <v>0</v>
      </c>
      <c r="I199" s="87">
        <f>F199*AP199</f>
        <v>0</v>
      </c>
      <c r="J199" s="87">
        <f>F199*G199</f>
        <v>0</v>
      </c>
      <c r="K199" s="88">
        <f>IF(J250=0,0,J199/J250)</f>
        <v>0</v>
      </c>
      <c r="L199" s="87">
        <v>0</v>
      </c>
      <c r="M199" s="87">
        <f>F199*L199</f>
        <v>0</v>
      </c>
      <c r="N199" s="89" t="s">
        <v>559</v>
      </c>
      <c r="Z199" s="33">
        <f>IF(AQ199="5",BJ199,0)</f>
        <v>0</v>
      </c>
      <c r="AB199" s="33">
        <f>IF(AQ199="1",BH199,0)</f>
        <v>0</v>
      </c>
      <c r="AC199" s="33">
        <f>IF(AQ199="1",BI199,0)</f>
        <v>0</v>
      </c>
      <c r="AD199" s="33">
        <f>IF(AQ199="7",BH199,0)</f>
        <v>0</v>
      </c>
      <c r="AE199" s="33">
        <f>IF(AQ199="7",BI199,0)</f>
        <v>0</v>
      </c>
      <c r="AF199" s="33">
        <f>IF(AQ199="2",BH199,0)</f>
        <v>0</v>
      </c>
      <c r="AG199" s="33">
        <f>IF(AQ199="2",BI199,0)</f>
        <v>0</v>
      </c>
      <c r="AH199" s="33">
        <f>IF(AQ199="0",BJ199,0)</f>
        <v>0</v>
      </c>
      <c r="AI199" s="25" t="s">
        <v>199</v>
      </c>
      <c r="AJ199" s="18">
        <f>IF(AN199=0,J199,0)</f>
        <v>0</v>
      </c>
      <c r="AK199" s="18">
        <f>IF(AN199=15,J199,0)</f>
        <v>0</v>
      </c>
      <c r="AL199" s="18">
        <f>IF(AN199=21,J199,0)</f>
        <v>0</v>
      </c>
      <c r="AN199" s="33">
        <v>21</v>
      </c>
      <c r="AO199" s="33">
        <f>G199*0.126637740797685</f>
        <v>0</v>
      </c>
      <c r="AP199" s="33">
        <f>G199*(1-0.126637740797685)</f>
        <v>0</v>
      </c>
      <c r="AQ199" s="30" t="s">
        <v>6</v>
      </c>
      <c r="AV199" s="33">
        <f>AW199+AX199</f>
        <v>0</v>
      </c>
      <c r="AW199" s="33">
        <f>F199*AO199</f>
        <v>0</v>
      </c>
      <c r="AX199" s="33">
        <f>F199*AP199</f>
        <v>0</v>
      </c>
      <c r="AY199" s="34" t="s">
        <v>578</v>
      </c>
      <c r="AZ199" s="34" t="s">
        <v>592</v>
      </c>
      <c r="BA199" s="25" t="s">
        <v>602</v>
      </c>
      <c r="BC199" s="33">
        <f>AW199+AX199</f>
        <v>0</v>
      </c>
      <c r="BD199" s="33">
        <f>G199/(100-BE199)*100</f>
        <v>0</v>
      </c>
      <c r="BE199" s="33">
        <v>0</v>
      </c>
      <c r="BF199" s="33">
        <f>M199</f>
        <v>0</v>
      </c>
      <c r="BH199" s="18">
        <f>F199*AO199</f>
        <v>0</v>
      </c>
      <c r="BI199" s="18">
        <f>F199*AP199</f>
        <v>0</v>
      </c>
      <c r="BJ199" s="18">
        <f>F199*G199</f>
        <v>0</v>
      </c>
    </row>
    <row r="200" spans="1:62" ht="12.75">
      <c r="A200" s="86" t="s">
        <v>165</v>
      </c>
      <c r="B200" s="86" t="s">
        <v>199</v>
      </c>
      <c r="C200" s="86" t="s">
        <v>316</v>
      </c>
      <c r="D200" s="86" t="s">
        <v>483</v>
      </c>
      <c r="E200" s="86" t="s">
        <v>526</v>
      </c>
      <c r="F200" s="87">
        <v>272.85</v>
      </c>
      <c r="G200" s="87"/>
      <c r="H200" s="87">
        <f>F200*AO200</f>
        <v>0</v>
      </c>
      <c r="I200" s="87">
        <f>F200*AP200</f>
        <v>0</v>
      </c>
      <c r="J200" s="87">
        <f>F200*G200</f>
        <v>0</v>
      </c>
      <c r="K200" s="88">
        <f>IF(J250=0,0,J200/J250)</f>
        <v>0</v>
      </c>
      <c r="L200" s="87">
        <v>0</v>
      </c>
      <c r="M200" s="87">
        <f>F200*L200</f>
        <v>0</v>
      </c>
      <c r="N200" s="89" t="s">
        <v>559</v>
      </c>
      <c r="Z200" s="33">
        <f>IF(AQ200="5",BJ200,0)</f>
        <v>0</v>
      </c>
      <c r="AB200" s="33">
        <f>IF(AQ200="1",BH200,0)</f>
        <v>0</v>
      </c>
      <c r="AC200" s="33">
        <f>IF(AQ200="1",BI200,0)</f>
        <v>0</v>
      </c>
      <c r="AD200" s="33">
        <f>IF(AQ200="7",BH200,0)</f>
        <v>0</v>
      </c>
      <c r="AE200" s="33">
        <f>IF(AQ200="7",BI200,0)</f>
        <v>0</v>
      </c>
      <c r="AF200" s="33">
        <f>IF(AQ200="2",BH200,0)</f>
        <v>0</v>
      </c>
      <c r="AG200" s="33">
        <f>IF(AQ200="2",BI200,0)</f>
        <v>0</v>
      </c>
      <c r="AH200" s="33">
        <f>IF(AQ200="0",BJ200,0)</f>
        <v>0</v>
      </c>
      <c r="AI200" s="25" t="s">
        <v>199</v>
      </c>
      <c r="AJ200" s="18">
        <f>IF(AN200=0,J200,0)</f>
        <v>0</v>
      </c>
      <c r="AK200" s="18">
        <f>IF(AN200=15,J200,0)</f>
        <v>0</v>
      </c>
      <c r="AL200" s="18">
        <f>IF(AN200=21,J200,0)</f>
        <v>0</v>
      </c>
      <c r="AN200" s="33">
        <v>21</v>
      </c>
      <c r="AO200" s="33">
        <f>G200*0</f>
        <v>0</v>
      </c>
      <c r="AP200" s="33">
        <f>G200*(1-0)</f>
        <v>0</v>
      </c>
      <c r="AQ200" s="30" t="s">
        <v>6</v>
      </c>
      <c r="AV200" s="33">
        <f>AW200+AX200</f>
        <v>0</v>
      </c>
      <c r="AW200" s="33">
        <f>F200*AO200</f>
        <v>0</v>
      </c>
      <c r="AX200" s="33">
        <f>F200*AP200</f>
        <v>0</v>
      </c>
      <c r="AY200" s="34" t="s">
        <v>578</v>
      </c>
      <c r="AZ200" s="34" t="s">
        <v>592</v>
      </c>
      <c r="BA200" s="25" t="s">
        <v>602</v>
      </c>
      <c r="BC200" s="33">
        <f>AW200+AX200</f>
        <v>0</v>
      </c>
      <c r="BD200" s="33">
        <f>G200/(100-BE200)*100</f>
        <v>0</v>
      </c>
      <c r="BE200" s="33">
        <v>0</v>
      </c>
      <c r="BF200" s="33">
        <f>M200</f>
        <v>0</v>
      </c>
      <c r="BH200" s="18">
        <f>F200*AO200</f>
        <v>0</v>
      </c>
      <c r="BI200" s="18">
        <f>F200*AP200</f>
        <v>0</v>
      </c>
      <c r="BJ200" s="18">
        <f>F200*G200</f>
        <v>0</v>
      </c>
    </row>
    <row r="201" spans="1:47" ht="12.75">
      <c r="A201" s="90"/>
      <c r="B201" s="91" t="s">
        <v>199</v>
      </c>
      <c r="C201" s="91" t="s">
        <v>94</v>
      </c>
      <c r="D201" s="91" t="s">
        <v>484</v>
      </c>
      <c r="E201" s="90" t="s">
        <v>5</v>
      </c>
      <c r="F201" s="90" t="s">
        <v>5</v>
      </c>
      <c r="G201" s="90"/>
      <c r="H201" s="92">
        <f>SUM(H202:H213)</f>
        <v>0</v>
      </c>
      <c r="I201" s="92">
        <f>SUM(I202:I213)</f>
        <v>0</v>
      </c>
      <c r="J201" s="92">
        <f>SUM(J202:J213)</f>
        <v>0</v>
      </c>
      <c r="K201" s="93">
        <f>IF(J250=0,0,J201/J250)</f>
        <v>0</v>
      </c>
      <c r="L201" s="94"/>
      <c r="M201" s="92">
        <f>SUM(M202:M213)</f>
        <v>597.632046</v>
      </c>
      <c r="N201" s="94"/>
      <c r="AI201" s="25" t="s">
        <v>199</v>
      </c>
      <c r="AS201" s="36">
        <f>SUM(AJ202:AJ213)</f>
        <v>0</v>
      </c>
      <c r="AT201" s="36">
        <f>SUM(AK202:AK213)</f>
        <v>0</v>
      </c>
      <c r="AU201" s="36">
        <f>SUM(AL202:AL213)</f>
        <v>0</v>
      </c>
    </row>
    <row r="202" spans="1:62" ht="12.75">
      <c r="A202" s="86" t="s">
        <v>166</v>
      </c>
      <c r="B202" s="86" t="s">
        <v>199</v>
      </c>
      <c r="C202" s="86" t="s">
        <v>317</v>
      </c>
      <c r="D202" s="86" t="s">
        <v>485</v>
      </c>
      <c r="E202" s="86" t="s">
        <v>534</v>
      </c>
      <c r="F202" s="87">
        <v>24</v>
      </c>
      <c r="G202" s="87"/>
      <c r="H202" s="87">
        <f>F202*AO202</f>
        <v>0</v>
      </c>
      <c r="I202" s="87">
        <f>F202*AP202</f>
        <v>0</v>
      </c>
      <c r="J202" s="87">
        <f>F202*G202</f>
        <v>0</v>
      </c>
      <c r="K202" s="88">
        <f>IF(J250=0,0,J202/J250)</f>
        <v>0</v>
      </c>
      <c r="L202" s="87">
        <v>0.06492</v>
      </c>
      <c r="M202" s="87">
        <f>F202*L202</f>
        <v>1.5580800000000001</v>
      </c>
      <c r="N202" s="89" t="s">
        <v>559</v>
      </c>
      <c r="Z202" s="33">
        <f>IF(AQ202="5",BJ202,0)</f>
        <v>0</v>
      </c>
      <c r="AB202" s="33">
        <f>IF(AQ202="1",BH202,0)</f>
        <v>0</v>
      </c>
      <c r="AC202" s="33">
        <f>IF(AQ202="1",BI202,0)</f>
        <v>0</v>
      </c>
      <c r="AD202" s="33">
        <f>IF(AQ202="7",BH202,0)</f>
        <v>0</v>
      </c>
      <c r="AE202" s="33">
        <f>IF(AQ202="7",BI202,0)</f>
        <v>0</v>
      </c>
      <c r="AF202" s="33">
        <f>IF(AQ202="2",BH202,0)</f>
        <v>0</v>
      </c>
      <c r="AG202" s="33">
        <f>IF(AQ202="2",BI202,0)</f>
        <v>0</v>
      </c>
      <c r="AH202" s="33">
        <f>IF(AQ202="0",BJ202,0)</f>
        <v>0</v>
      </c>
      <c r="AI202" s="25" t="s">
        <v>199</v>
      </c>
      <c r="AJ202" s="18">
        <f>IF(AN202=0,J202,0)</f>
        <v>0</v>
      </c>
      <c r="AK202" s="18">
        <f>IF(AN202=15,J202,0)</f>
        <v>0</v>
      </c>
      <c r="AL202" s="18">
        <f>IF(AN202=21,J202,0)</f>
        <v>0</v>
      </c>
      <c r="AN202" s="33">
        <v>21</v>
      </c>
      <c r="AO202" s="33">
        <f>G202*0.941179458862507</f>
        <v>0</v>
      </c>
      <c r="AP202" s="33">
        <f>G202*(1-0.941179458862507)</f>
        <v>0</v>
      </c>
      <c r="AQ202" s="30" t="s">
        <v>6</v>
      </c>
      <c r="AV202" s="33">
        <f>AW202+AX202</f>
        <v>0</v>
      </c>
      <c r="AW202" s="33">
        <f>F202*AO202</f>
        <v>0</v>
      </c>
      <c r="AX202" s="33">
        <f>F202*AP202</f>
        <v>0</v>
      </c>
      <c r="AY202" s="34" t="s">
        <v>579</v>
      </c>
      <c r="AZ202" s="34" t="s">
        <v>593</v>
      </c>
      <c r="BA202" s="25" t="s">
        <v>602</v>
      </c>
      <c r="BC202" s="33">
        <f>AW202+AX202</f>
        <v>0</v>
      </c>
      <c r="BD202" s="33">
        <f>G202/(100-BE202)*100</f>
        <v>0</v>
      </c>
      <c r="BE202" s="33">
        <v>0</v>
      </c>
      <c r="BF202" s="33">
        <f>M202</f>
        <v>1.5580800000000001</v>
      </c>
      <c r="BH202" s="18">
        <f>F202*AO202</f>
        <v>0</v>
      </c>
      <c r="BI202" s="18">
        <f>F202*AP202</f>
        <v>0</v>
      </c>
      <c r="BJ202" s="18">
        <f>F202*G202</f>
        <v>0</v>
      </c>
    </row>
    <row r="203" spans="1:14" ht="12.75">
      <c r="A203" s="95"/>
      <c r="B203" s="95"/>
      <c r="C203" s="95"/>
      <c r="D203" s="96" t="s">
        <v>486</v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1:62" ht="12.75">
      <c r="A204" s="86" t="s">
        <v>167</v>
      </c>
      <c r="B204" s="86" t="s">
        <v>199</v>
      </c>
      <c r="C204" s="86" t="s">
        <v>318</v>
      </c>
      <c r="D204" s="86" t="s">
        <v>487</v>
      </c>
      <c r="E204" s="86" t="s">
        <v>526</v>
      </c>
      <c r="F204" s="87">
        <v>133.8</v>
      </c>
      <c r="G204" s="87"/>
      <c r="H204" s="87">
        <f>F204*AO204</f>
        <v>0</v>
      </c>
      <c r="I204" s="87">
        <f>F204*AP204</f>
        <v>0</v>
      </c>
      <c r="J204" s="87">
        <f>F204*G204</f>
        <v>0</v>
      </c>
      <c r="K204" s="88">
        <f>IF(J250=0,0,J204/J250)</f>
        <v>0</v>
      </c>
      <c r="L204" s="87">
        <v>0.58717</v>
      </c>
      <c r="M204" s="87">
        <f>F204*L204</f>
        <v>78.563346</v>
      </c>
      <c r="N204" s="89" t="s">
        <v>559</v>
      </c>
      <c r="Z204" s="33">
        <f>IF(AQ204="5",BJ204,0)</f>
        <v>0</v>
      </c>
      <c r="AB204" s="33">
        <f>IF(AQ204="1",BH204,0)</f>
        <v>0</v>
      </c>
      <c r="AC204" s="33">
        <f>IF(AQ204="1",BI204,0)</f>
        <v>0</v>
      </c>
      <c r="AD204" s="33">
        <f>IF(AQ204="7",BH204,0)</f>
        <v>0</v>
      </c>
      <c r="AE204" s="33">
        <f>IF(AQ204="7",BI204,0)</f>
        <v>0</v>
      </c>
      <c r="AF204" s="33">
        <f>IF(AQ204="2",BH204,0)</f>
        <v>0</v>
      </c>
      <c r="AG204" s="33">
        <f>IF(AQ204="2",BI204,0)</f>
        <v>0</v>
      </c>
      <c r="AH204" s="33">
        <f>IF(AQ204="0",BJ204,0)</f>
        <v>0</v>
      </c>
      <c r="AI204" s="25" t="s">
        <v>199</v>
      </c>
      <c r="AJ204" s="18">
        <f>IF(AN204=0,J204,0)</f>
        <v>0</v>
      </c>
      <c r="AK204" s="18">
        <f>IF(AN204=15,J204,0)</f>
        <v>0</v>
      </c>
      <c r="AL204" s="18">
        <f>IF(AN204=21,J204,0)</f>
        <v>0</v>
      </c>
      <c r="AN204" s="33">
        <v>21</v>
      </c>
      <c r="AO204" s="33">
        <f>G204*0.195667844522968</f>
        <v>0</v>
      </c>
      <c r="AP204" s="33">
        <f>G204*(1-0.195667844522968)</f>
        <v>0</v>
      </c>
      <c r="AQ204" s="30" t="s">
        <v>6</v>
      </c>
      <c r="AV204" s="33">
        <f>AW204+AX204</f>
        <v>0</v>
      </c>
      <c r="AW204" s="33">
        <f>F204*AO204</f>
        <v>0</v>
      </c>
      <c r="AX204" s="33">
        <f>F204*AP204</f>
        <v>0</v>
      </c>
      <c r="AY204" s="34" t="s">
        <v>579</v>
      </c>
      <c r="AZ204" s="34" t="s">
        <v>593</v>
      </c>
      <c r="BA204" s="25" t="s">
        <v>602</v>
      </c>
      <c r="BC204" s="33">
        <f>AW204+AX204</f>
        <v>0</v>
      </c>
      <c r="BD204" s="33">
        <f>G204/(100-BE204)*100</f>
        <v>0</v>
      </c>
      <c r="BE204" s="33">
        <v>0</v>
      </c>
      <c r="BF204" s="33">
        <f>M204</f>
        <v>78.563346</v>
      </c>
      <c r="BH204" s="18">
        <f>F204*AO204</f>
        <v>0</v>
      </c>
      <c r="BI204" s="18">
        <f>F204*AP204</f>
        <v>0</v>
      </c>
      <c r="BJ204" s="18">
        <f>F204*G204</f>
        <v>0</v>
      </c>
    </row>
    <row r="205" spans="1:14" ht="12.75">
      <c r="A205" s="95"/>
      <c r="B205" s="95"/>
      <c r="C205" s="95"/>
      <c r="D205" s="96" t="s">
        <v>488</v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1:62" ht="12.75">
      <c r="A206" s="86" t="s">
        <v>168</v>
      </c>
      <c r="B206" s="86" t="s">
        <v>199</v>
      </c>
      <c r="C206" s="86" t="s">
        <v>319</v>
      </c>
      <c r="D206" s="86" t="s">
        <v>489</v>
      </c>
      <c r="E206" s="86" t="s">
        <v>526</v>
      </c>
      <c r="F206" s="87">
        <v>46.5</v>
      </c>
      <c r="G206" s="87"/>
      <c r="H206" s="87">
        <f>F206*AO206</f>
        <v>0</v>
      </c>
      <c r="I206" s="87">
        <f>F206*AP206</f>
        <v>0</v>
      </c>
      <c r="J206" s="87">
        <f>F206*G206</f>
        <v>0</v>
      </c>
      <c r="K206" s="88">
        <f>IF(J250=0,0,J206/J250)</f>
        <v>0</v>
      </c>
      <c r="L206" s="87">
        <v>0.58268</v>
      </c>
      <c r="M206" s="87">
        <f>F206*L206</f>
        <v>27.09462</v>
      </c>
      <c r="N206" s="89" t="s">
        <v>559</v>
      </c>
      <c r="Z206" s="33">
        <f>IF(AQ206="5",BJ206,0)</f>
        <v>0</v>
      </c>
      <c r="AB206" s="33">
        <f>IF(AQ206="1",BH206,0)</f>
        <v>0</v>
      </c>
      <c r="AC206" s="33">
        <f>IF(AQ206="1",BI206,0)</f>
        <v>0</v>
      </c>
      <c r="AD206" s="33">
        <f>IF(AQ206="7",BH206,0)</f>
        <v>0</v>
      </c>
      <c r="AE206" s="33">
        <f>IF(AQ206="7",BI206,0)</f>
        <v>0</v>
      </c>
      <c r="AF206" s="33">
        <f>IF(AQ206="2",BH206,0)</f>
        <v>0</v>
      </c>
      <c r="AG206" s="33">
        <f>IF(AQ206="2",BI206,0)</f>
        <v>0</v>
      </c>
      <c r="AH206" s="33">
        <f>IF(AQ206="0",BJ206,0)</f>
        <v>0</v>
      </c>
      <c r="AI206" s="25" t="s">
        <v>199</v>
      </c>
      <c r="AJ206" s="18">
        <f>IF(AN206=0,J206,0)</f>
        <v>0</v>
      </c>
      <c r="AK206" s="18">
        <f>IF(AN206=15,J206,0)</f>
        <v>0</v>
      </c>
      <c r="AL206" s="18">
        <f>IF(AN206=21,J206,0)</f>
        <v>0</v>
      </c>
      <c r="AN206" s="33">
        <v>21</v>
      </c>
      <c r="AO206" s="33">
        <f>G206*0.255956196976651</f>
        <v>0</v>
      </c>
      <c r="AP206" s="33">
        <f>G206*(1-0.255956196976651)</f>
        <v>0</v>
      </c>
      <c r="AQ206" s="30" t="s">
        <v>6</v>
      </c>
      <c r="AV206" s="33">
        <f>AW206+AX206</f>
        <v>0</v>
      </c>
      <c r="AW206" s="33">
        <f>F206*AO206</f>
        <v>0</v>
      </c>
      <c r="AX206" s="33">
        <f>F206*AP206</f>
        <v>0</v>
      </c>
      <c r="AY206" s="34" t="s">
        <v>579</v>
      </c>
      <c r="AZ206" s="34" t="s">
        <v>593</v>
      </c>
      <c r="BA206" s="25" t="s">
        <v>602</v>
      </c>
      <c r="BC206" s="33">
        <f>AW206+AX206</f>
        <v>0</v>
      </c>
      <c r="BD206" s="33">
        <f>G206/(100-BE206)*100</f>
        <v>0</v>
      </c>
      <c r="BE206" s="33">
        <v>0</v>
      </c>
      <c r="BF206" s="33">
        <f>M206</f>
        <v>27.09462</v>
      </c>
      <c r="BH206" s="18">
        <f>F206*AO206</f>
        <v>0</v>
      </c>
      <c r="BI206" s="18">
        <f>F206*AP206</f>
        <v>0</v>
      </c>
      <c r="BJ206" s="18">
        <f>F206*G206</f>
        <v>0</v>
      </c>
    </row>
    <row r="207" spans="1:14" ht="12.75">
      <c r="A207" s="95"/>
      <c r="B207" s="95"/>
      <c r="C207" s="95"/>
      <c r="D207" s="96" t="s">
        <v>488</v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1:62" ht="12.75">
      <c r="A208" s="86" t="s">
        <v>169</v>
      </c>
      <c r="B208" s="86" t="s">
        <v>199</v>
      </c>
      <c r="C208" s="86" t="s">
        <v>258</v>
      </c>
      <c r="D208" s="86" t="s">
        <v>412</v>
      </c>
      <c r="E208" s="86" t="s">
        <v>530</v>
      </c>
      <c r="F208" s="87">
        <v>288.48</v>
      </c>
      <c r="G208" s="87"/>
      <c r="H208" s="87">
        <f>F208*AO208</f>
        <v>0</v>
      </c>
      <c r="I208" s="87">
        <f>F208*AP208</f>
        <v>0</v>
      </c>
      <c r="J208" s="87">
        <f>F208*G208</f>
        <v>0</v>
      </c>
      <c r="K208" s="88">
        <f>IF(J250=0,0,J208/J250)</f>
        <v>0</v>
      </c>
      <c r="L208" s="87">
        <v>0</v>
      </c>
      <c r="M208" s="87">
        <f>F208*L208</f>
        <v>0</v>
      </c>
      <c r="N208" s="89" t="s">
        <v>559</v>
      </c>
      <c r="Z208" s="33">
        <f>IF(AQ208="5",BJ208,0)</f>
        <v>0</v>
      </c>
      <c r="AB208" s="33">
        <f>IF(AQ208="1",BH208,0)</f>
        <v>0</v>
      </c>
      <c r="AC208" s="33">
        <f>IF(AQ208="1",BI208,0)</f>
        <v>0</v>
      </c>
      <c r="AD208" s="33">
        <f>IF(AQ208="7",BH208,0)</f>
        <v>0</v>
      </c>
      <c r="AE208" s="33">
        <f>IF(AQ208="7",BI208,0)</f>
        <v>0</v>
      </c>
      <c r="AF208" s="33">
        <f>IF(AQ208="2",BH208,0)</f>
        <v>0</v>
      </c>
      <c r="AG208" s="33">
        <f>IF(AQ208="2",BI208,0)</f>
        <v>0</v>
      </c>
      <c r="AH208" s="33">
        <f>IF(AQ208="0",BJ208,0)</f>
        <v>0</v>
      </c>
      <c r="AI208" s="25" t="s">
        <v>199</v>
      </c>
      <c r="AJ208" s="18">
        <f>IF(AN208=0,J208,0)</f>
        <v>0</v>
      </c>
      <c r="AK208" s="18">
        <f>IF(AN208=15,J208,0)</f>
        <v>0</v>
      </c>
      <c r="AL208" s="18">
        <f>IF(AN208=21,J208,0)</f>
        <v>0</v>
      </c>
      <c r="AN208" s="33">
        <v>21</v>
      </c>
      <c r="AO208" s="33">
        <f>G208*0</f>
        <v>0</v>
      </c>
      <c r="AP208" s="33">
        <f>G208*(1-0)</f>
        <v>0</v>
      </c>
      <c r="AQ208" s="30" t="s">
        <v>6</v>
      </c>
      <c r="AV208" s="33">
        <f>AW208+AX208</f>
        <v>0</v>
      </c>
      <c r="AW208" s="33">
        <f>F208*AO208</f>
        <v>0</v>
      </c>
      <c r="AX208" s="33">
        <f>F208*AP208</f>
        <v>0</v>
      </c>
      <c r="AY208" s="34" t="s">
        <v>579</v>
      </c>
      <c r="AZ208" s="34" t="s">
        <v>593</v>
      </c>
      <c r="BA208" s="25" t="s">
        <v>602</v>
      </c>
      <c r="BC208" s="33">
        <f>AW208+AX208</f>
        <v>0</v>
      </c>
      <c r="BD208" s="33">
        <f>G208/(100-BE208)*100</f>
        <v>0</v>
      </c>
      <c r="BE208" s="33">
        <v>0</v>
      </c>
      <c r="BF208" s="33">
        <f>M208</f>
        <v>0</v>
      </c>
      <c r="BH208" s="18">
        <f>F208*AO208</f>
        <v>0</v>
      </c>
      <c r="BI208" s="18">
        <f>F208*AP208</f>
        <v>0</v>
      </c>
      <c r="BJ208" s="18">
        <f>F208*G208</f>
        <v>0</v>
      </c>
    </row>
    <row r="209" spans="1:62" ht="12.75">
      <c r="A209" s="82" t="s">
        <v>170</v>
      </c>
      <c r="B209" s="82" t="s">
        <v>199</v>
      </c>
      <c r="C209" s="82" t="s">
        <v>259</v>
      </c>
      <c r="D209" s="82" t="s">
        <v>413</v>
      </c>
      <c r="E209" s="82" t="s">
        <v>529</v>
      </c>
      <c r="F209" s="83">
        <v>490.416</v>
      </c>
      <c r="G209" s="83"/>
      <c r="H209" s="83">
        <f>F209*AO209</f>
        <v>0</v>
      </c>
      <c r="I209" s="83">
        <f>F209*AP209</f>
        <v>0</v>
      </c>
      <c r="J209" s="83">
        <f>F209*G209</f>
        <v>0</v>
      </c>
      <c r="K209" s="84">
        <f>IF(J250=0,0,J209/J250)</f>
        <v>0</v>
      </c>
      <c r="L209" s="83">
        <v>1</v>
      </c>
      <c r="M209" s="83">
        <f>F209*L209</f>
        <v>490.416</v>
      </c>
      <c r="N209" s="85" t="s">
        <v>559</v>
      </c>
      <c r="Z209" s="33">
        <f>IF(AQ209="5",BJ209,0)</f>
        <v>0</v>
      </c>
      <c r="AB209" s="33">
        <f>IF(AQ209="1",BH209,0)</f>
        <v>0</v>
      </c>
      <c r="AC209" s="33">
        <f>IF(AQ209="1",BI209,0)</f>
        <v>0</v>
      </c>
      <c r="AD209" s="33">
        <f>IF(AQ209="7",BH209,0)</f>
        <v>0</v>
      </c>
      <c r="AE209" s="33">
        <f>IF(AQ209="7",BI209,0)</f>
        <v>0</v>
      </c>
      <c r="AF209" s="33">
        <f>IF(AQ209="2",BH209,0)</f>
        <v>0</v>
      </c>
      <c r="AG209" s="33">
        <f>IF(AQ209="2",BI209,0)</f>
        <v>0</v>
      </c>
      <c r="AH209" s="33">
        <f>IF(AQ209="0",BJ209,0)</f>
        <v>0</v>
      </c>
      <c r="AI209" s="25" t="s">
        <v>199</v>
      </c>
      <c r="AJ209" s="17">
        <f>IF(AN209=0,J209,0)</f>
        <v>0</v>
      </c>
      <c r="AK209" s="17">
        <f>IF(AN209=15,J209,0)</f>
        <v>0</v>
      </c>
      <c r="AL209" s="17">
        <f>IF(AN209=21,J209,0)</f>
        <v>0</v>
      </c>
      <c r="AN209" s="33">
        <v>21</v>
      </c>
      <c r="AO209" s="33">
        <f>G209*1</f>
        <v>0</v>
      </c>
      <c r="AP209" s="33">
        <f>G209*(1-1)</f>
        <v>0</v>
      </c>
      <c r="AQ209" s="29" t="s">
        <v>6</v>
      </c>
      <c r="AV209" s="33">
        <f>AW209+AX209</f>
        <v>0</v>
      </c>
      <c r="AW209" s="33">
        <f>F209*AO209</f>
        <v>0</v>
      </c>
      <c r="AX209" s="33">
        <f>F209*AP209</f>
        <v>0</v>
      </c>
      <c r="AY209" s="34" t="s">
        <v>579</v>
      </c>
      <c r="AZ209" s="34" t="s">
        <v>593</v>
      </c>
      <c r="BA209" s="25" t="s">
        <v>602</v>
      </c>
      <c r="BC209" s="33">
        <f>AW209+AX209</f>
        <v>0</v>
      </c>
      <c r="BD209" s="33">
        <f>G209/(100-BE209)*100</f>
        <v>0</v>
      </c>
      <c r="BE209" s="33">
        <v>0</v>
      </c>
      <c r="BF209" s="33">
        <f>M209</f>
        <v>490.416</v>
      </c>
      <c r="BH209" s="17">
        <f>F209*AO209</f>
        <v>0</v>
      </c>
      <c r="BI209" s="17">
        <f>F209*AP209</f>
        <v>0</v>
      </c>
      <c r="BJ209" s="17">
        <f>F209*G209</f>
        <v>0</v>
      </c>
    </row>
    <row r="210" spans="1:62" ht="12.75">
      <c r="A210" s="86" t="s">
        <v>171</v>
      </c>
      <c r="B210" s="86" t="s">
        <v>199</v>
      </c>
      <c r="C210" s="86" t="s">
        <v>214</v>
      </c>
      <c r="D210" s="86" t="s">
        <v>370</v>
      </c>
      <c r="E210" s="86" t="s">
        <v>530</v>
      </c>
      <c r="F210" s="87">
        <v>288.48</v>
      </c>
      <c r="G210" s="87"/>
      <c r="H210" s="87">
        <f>F210*AO210</f>
        <v>0</v>
      </c>
      <c r="I210" s="87">
        <f>F210*AP210</f>
        <v>0</v>
      </c>
      <c r="J210" s="87">
        <f>F210*G210</f>
        <v>0</v>
      </c>
      <c r="K210" s="88">
        <f>IF(J250=0,0,J210/J250)</f>
        <v>0</v>
      </c>
      <c r="L210" s="87">
        <v>0</v>
      </c>
      <c r="M210" s="87">
        <f>F210*L210</f>
        <v>0</v>
      </c>
      <c r="N210" s="89" t="s">
        <v>559</v>
      </c>
      <c r="Z210" s="33">
        <f>IF(AQ210="5",BJ210,0)</f>
        <v>0</v>
      </c>
      <c r="AB210" s="33">
        <f>IF(AQ210="1",BH210,0)</f>
        <v>0</v>
      </c>
      <c r="AC210" s="33">
        <f>IF(AQ210="1",BI210,0)</f>
        <v>0</v>
      </c>
      <c r="AD210" s="33">
        <f>IF(AQ210="7",BH210,0)</f>
        <v>0</v>
      </c>
      <c r="AE210" s="33">
        <f>IF(AQ210="7",BI210,0)</f>
        <v>0</v>
      </c>
      <c r="AF210" s="33">
        <f>IF(AQ210="2",BH210,0)</f>
        <v>0</v>
      </c>
      <c r="AG210" s="33">
        <f>IF(AQ210="2",BI210,0)</f>
        <v>0</v>
      </c>
      <c r="AH210" s="33">
        <f>IF(AQ210="0",BJ210,0)</f>
        <v>0</v>
      </c>
      <c r="AI210" s="25" t="s">
        <v>199</v>
      </c>
      <c r="AJ210" s="18">
        <f>IF(AN210=0,J210,0)</f>
        <v>0</v>
      </c>
      <c r="AK210" s="18">
        <f>IF(AN210=15,J210,0)</f>
        <v>0</v>
      </c>
      <c r="AL210" s="18">
        <f>IF(AN210=21,J210,0)</f>
        <v>0</v>
      </c>
      <c r="AN210" s="33">
        <v>21</v>
      </c>
      <c r="AO210" s="33">
        <f>G210*0</f>
        <v>0</v>
      </c>
      <c r="AP210" s="33">
        <f>G210*(1-0)</f>
        <v>0</v>
      </c>
      <c r="AQ210" s="30" t="s">
        <v>6</v>
      </c>
      <c r="AV210" s="33">
        <f>AW210+AX210</f>
        <v>0</v>
      </c>
      <c r="AW210" s="33">
        <f>F210*AO210</f>
        <v>0</v>
      </c>
      <c r="AX210" s="33">
        <f>F210*AP210</f>
        <v>0</v>
      </c>
      <c r="AY210" s="34" t="s">
        <v>579</v>
      </c>
      <c r="AZ210" s="34" t="s">
        <v>593</v>
      </c>
      <c r="BA210" s="25" t="s">
        <v>602</v>
      </c>
      <c r="BC210" s="33">
        <f>AW210+AX210</f>
        <v>0</v>
      </c>
      <c r="BD210" s="33">
        <f>G210/(100-BE210)*100</f>
        <v>0</v>
      </c>
      <c r="BE210" s="33">
        <v>0</v>
      </c>
      <c r="BF210" s="33">
        <f>M210</f>
        <v>0</v>
      </c>
      <c r="BH210" s="18">
        <f>F210*AO210</f>
        <v>0</v>
      </c>
      <c r="BI210" s="18">
        <f>F210*AP210</f>
        <v>0</v>
      </c>
      <c r="BJ210" s="18">
        <f>F210*G210</f>
        <v>0</v>
      </c>
    </row>
    <row r="211" spans="1:62" ht="12.75">
      <c r="A211" s="86" t="s">
        <v>172</v>
      </c>
      <c r="B211" s="86" t="s">
        <v>199</v>
      </c>
      <c r="C211" s="86" t="s">
        <v>225</v>
      </c>
      <c r="D211" s="86" t="s">
        <v>376</v>
      </c>
      <c r="E211" s="86" t="s">
        <v>530</v>
      </c>
      <c r="F211" s="87">
        <v>1442.4</v>
      </c>
      <c r="G211" s="87"/>
      <c r="H211" s="87">
        <f>F211*AO211</f>
        <v>0</v>
      </c>
      <c r="I211" s="87">
        <f>F211*AP211</f>
        <v>0</v>
      </c>
      <c r="J211" s="87">
        <f>F211*G211</f>
        <v>0</v>
      </c>
      <c r="K211" s="88">
        <f>IF(J250=0,0,J211/J250)</f>
        <v>0</v>
      </c>
      <c r="L211" s="87">
        <v>0</v>
      </c>
      <c r="M211" s="87">
        <f>F211*L211</f>
        <v>0</v>
      </c>
      <c r="N211" s="89" t="s">
        <v>559</v>
      </c>
      <c r="Z211" s="33">
        <f>IF(AQ211="5",BJ211,0)</f>
        <v>0</v>
      </c>
      <c r="AB211" s="33">
        <f>IF(AQ211="1",BH211,0)</f>
        <v>0</v>
      </c>
      <c r="AC211" s="33">
        <f>IF(AQ211="1",BI211,0)</f>
        <v>0</v>
      </c>
      <c r="AD211" s="33">
        <f>IF(AQ211="7",BH211,0)</f>
        <v>0</v>
      </c>
      <c r="AE211" s="33">
        <f>IF(AQ211="7",BI211,0)</f>
        <v>0</v>
      </c>
      <c r="AF211" s="33">
        <f>IF(AQ211="2",BH211,0)</f>
        <v>0</v>
      </c>
      <c r="AG211" s="33">
        <f>IF(AQ211="2",BI211,0)</f>
        <v>0</v>
      </c>
      <c r="AH211" s="33">
        <f>IF(AQ211="0",BJ211,0)</f>
        <v>0</v>
      </c>
      <c r="AI211" s="25" t="s">
        <v>199</v>
      </c>
      <c r="AJ211" s="18">
        <f>IF(AN211=0,J211,0)</f>
        <v>0</v>
      </c>
      <c r="AK211" s="18">
        <f>IF(AN211=15,J211,0)</f>
        <v>0</v>
      </c>
      <c r="AL211" s="18">
        <f>IF(AN211=21,J211,0)</f>
        <v>0</v>
      </c>
      <c r="AN211" s="33">
        <v>21</v>
      </c>
      <c r="AO211" s="33">
        <f>G211*0</f>
        <v>0</v>
      </c>
      <c r="AP211" s="33">
        <f>G211*(1-0)</f>
        <v>0</v>
      </c>
      <c r="AQ211" s="30" t="s">
        <v>6</v>
      </c>
      <c r="AV211" s="33">
        <f>AW211+AX211</f>
        <v>0</v>
      </c>
      <c r="AW211" s="33">
        <f>F211*AO211</f>
        <v>0</v>
      </c>
      <c r="AX211" s="33">
        <f>F211*AP211</f>
        <v>0</v>
      </c>
      <c r="AY211" s="34" t="s">
        <v>579</v>
      </c>
      <c r="AZ211" s="34" t="s">
        <v>593</v>
      </c>
      <c r="BA211" s="25" t="s">
        <v>602</v>
      </c>
      <c r="BC211" s="33">
        <f>AW211+AX211</f>
        <v>0</v>
      </c>
      <c r="BD211" s="33">
        <f>G211/(100-BE211)*100</f>
        <v>0</v>
      </c>
      <c r="BE211" s="33">
        <v>0</v>
      </c>
      <c r="BF211" s="33">
        <f>M211</f>
        <v>0</v>
      </c>
      <c r="BH211" s="18">
        <f>F211*AO211</f>
        <v>0</v>
      </c>
      <c r="BI211" s="18">
        <f>F211*AP211</f>
        <v>0</v>
      </c>
      <c r="BJ211" s="18">
        <f>F211*G211</f>
        <v>0</v>
      </c>
    </row>
    <row r="212" spans="1:14" ht="12.75">
      <c r="A212" s="95"/>
      <c r="B212" s="95"/>
      <c r="C212" s="95"/>
      <c r="D212" s="96" t="s">
        <v>377</v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1:62" ht="12.75">
      <c r="A213" s="86" t="s">
        <v>173</v>
      </c>
      <c r="B213" s="86" t="s">
        <v>199</v>
      </c>
      <c r="C213" s="86" t="s">
        <v>224</v>
      </c>
      <c r="D213" s="86" t="s">
        <v>374</v>
      </c>
      <c r="E213" s="86" t="s">
        <v>530</v>
      </c>
      <c r="F213" s="87">
        <v>288.48</v>
      </c>
      <c r="G213" s="87"/>
      <c r="H213" s="87">
        <f>F213*AO213</f>
        <v>0</v>
      </c>
      <c r="I213" s="87">
        <f>F213*AP213</f>
        <v>0</v>
      </c>
      <c r="J213" s="87">
        <f>F213*G213</f>
        <v>0</v>
      </c>
      <c r="K213" s="88">
        <f>IF(J250=0,0,J213/J250)</f>
        <v>0</v>
      </c>
      <c r="L213" s="87">
        <v>0</v>
      </c>
      <c r="M213" s="87">
        <f>F213*L213</f>
        <v>0</v>
      </c>
      <c r="N213" s="89" t="s">
        <v>559</v>
      </c>
      <c r="Z213" s="33">
        <f>IF(AQ213="5",BJ213,0)</f>
        <v>0</v>
      </c>
      <c r="AB213" s="33">
        <f>IF(AQ213="1",BH213,0)</f>
        <v>0</v>
      </c>
      <c r="AC213" s="33">
        <f>IF(AQ213="1",BI213,0)</f>
        <v>0</v>
      </c>
      <c r="AD213" s="33">
        <f>IF(AQ213="7",BH213,0)</f>
        <v>0</v>
      </c>
      <c r="AE213" s="33">
        <f>IF(AQ213="7",BI213,0)</f>
        <v>0</v>
      </c>
      <c r="AF213" s="33">
        <f>IF(AQ213="2",BH213,0)</f>
        <v>0</v>
      </c>
      <c r="AG213" s="33">
        <f>IF(AQ213="2",BI213,0)</f>
        <v>0</v>
      </c>
      <c r="AH213" s="33">
        <f>IF(AQ213="0",BJ213,0)</f>
        <v>0</v>
      </c>
      <c r="AI213" s="25" t="s">
        <v>199</v>
      </c>
      <c r="AJ213" s="18">
        <f>IF(AN213=0,J213,0)</f>
        <v>0</v>
      </c>
      <c r="AK213" s="18">
        <f>IF(AN213=15,J213,0)</f>
        <v>0</v>
      </c>
      <c r="AL213" s="18">
        <f>IF(AN213=21,J213,0)</f>
        <v>0</v>
      </c>
      <c r="AN213" s="33">
        <v>21</v>
      </c>
      <c r="AO213" s="33">
        <f>G213*0</f>
        <v>0</v>
      </c>
      <c r="AP213" s="33">
        <f>G213*(1-0)</f>
        <v>0</v>
      </c>
      <c r="AQ213" s="30" t="s">
        <v>6</v>
      </c>
      <c r="AV213" s="33">
        <f>AW213+AX213</f>
        <v>0</v>
      </c>
      <c r="AW213" s="33">
        <f>F213*AO213</f>
        <v>0</v>
      </c>
      <c r="AX213" s="33">
        <f>F213*AP213</f>
        <v>0</v>
      </c>
      <c r="AY213" s="34" t="s">
        <v>579</v>
      </c>
      <c r="AZ213" s="34" t="s">
        <v>593</v>
      </c>
      <c r="BA213" s="25" t="s">
        <v>602</v>
      </c>
      <c r="BC213" s="33">
        <f>AW213+AX213</f>
        <v>0</v>
      </c>
      <c r="BD213" s="33">
        <f>G213/(100-BE213)*100</f>
        <v>0</v>
      </c>
      <c r="BE213" s="33">
        <v>0</v>
      </c>
      <c r="BF213" s="33">
        <f>M213</f>
        <v>0</v>
      </c>
      <c r="BH213" s="18">
        <f>F213*AO213</f>
        <v>0</v>
      </c>
      <c r="BI213" s="18">
        <f>F213*AP213</f>
        <v>0</v>
      </c>
      <c r="BJ213" s="18">
        <f>F213*G213</f>
        <v>0</v>
      </c>
    </row>
    <row r="214" spans="1:14" ht="12.75">
      <c r="A214" s="95"/>
      <c r="B214" s="95"/>
      <c r="C214" s="95"/>
      <c r="D214" s="96" t="s">
        <v>375</v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1:47" ht="12.75">
      <c r="A215" s="90"/>
      <c r="B215" s="91" t="s">
        <v>199</v>
      </c>
      <c r="C215" s="91" t="s">
        <v>282</v>
      </c>
      <c r="D215" s="91" t="s">
        <v>438</v>
      </c>
      <c r="E215" s="90" t="s">
        <v>5</v>
      </c>
      <c r="F215" s="90" t="s">
        <v>5</v>
      </c>
      <c r="G215" s="90"/>
      <c r="H215" s="92">
        <f>SUM(H216:H216)</f>
        <v>0</v>
      </c>
      <c r="I215" s="92">
        <f>SUM(I216:I216)</f>
        <v>0</v>
      </c>
      <c r="J215" s="92">
        <f>SUM(J216:J216)</f>
        <v>0</v>
      </c>
      <c r="K215" s="93">
        <f>IF(J250=0,0,J215/J250)</f>
        <v>0</v>
      </c>
      <c r="L215" s="94"/>
      <c r="M215" s="92">
        <f>SUM(M216:M216)</f>
        <v>0</v>
      </c>
      <c r="N215" s="94"/>
      <c r="AI215" s="25" t="s">
        <v>199</v>
      </c>
      <c r="AS215" s="36">
        <f>SUM(AJ216:AJ216)</f>
        <v>0</v>
      </c>
      <c r="AT215" s="36">
        <f>SUM(AK216:AK216)</f>
        <v>0</v>
      </c>
      <c r="AU215" s="36">
        <f>SUM(AL216:AL216)</f>
        <v>0</v>
      </c>
    </row>
    <row r="216" spans="1:62" ht="12.75">
      <c r="A216" s="86" t="s">
        <v>174</v>
      </c>
      <c r="B216" s="86" t="s">
        <v>199</v>
      </c>
      <c r="C216" s="86" t="s">
        <v>320</v>
      </c>
      <c r="D216" s="86" t="s">
        <v>490</v>
      </c>
      <c r="E216" s="86" t="s">
        <v>529</v>
      </c>
      <c r="F216" s="87">
        <v>3389.24</v>
      </c>
      <c r="G216" s="87"/>
      <c r="H216" s="87">
        <f>F216*AO216</f>
        <v>0</v>
      </c>
      <c r="I216" s="87">
        <f>F216*AP216</f>
        <v>0</v>
      </c>
      <c r="J216" s="87">
        <f>F216*G216</f>
        <v>0</v>
      </c>
      <c r="K216" s="88">
        <f>IF(J250=0,0,J216/J250)</f>
        <v>0</v>
      </c>
      <c r="L216" s="87">
        <v>0</v>
      </c>
      <c r="M216" s="87">
        <f>F216*L216</f>
        <v>0</v>
      </c>
      <c r="N216" s="89" t="s">
        <v>559</v>
      </c>
      <c r="Z216" s="33">
        <f>IF(AQ216="5",BJ216,0)</f>
        <v>0</v>
      </c>
      <c r="AB216" s="33">
        <f>IF(AQ216="1",BH216,0)</f>
        <v>0</v>
      </c>
      <c r="AC216" s="33">
        <f>IF(AQ216="1",BI216,0)</f>
        <v>0</v>
      </c>
      <c r="AD216" s="33">
        <f>IF(AQ216="7",BH216,0)</f>
        <v>0</v>
      </c>
      <c r="AE216" s="33">
        <f>IF(AQ216="7",BI216,0)</f>
        <v>0</v>
      </c>
      <c r="AF216" s="33">
        <f>IF(AQ216="2",BH216,0)</f>
        <v>0</v>
      </c>
      <c r="AG216" s="33">
        <f>IF(AQ216="2",BI216,0)</f>
        <v>0</v>
      </c>
      <c r="AH216" s="33">
        <f>IF(AQ216="0",BJ216,0)</f>
        <v>0</v>
      </c>
      <c r="AI216" s="25" t="s">
        <v>199</v>
      </c>
      <c r="AJ216" s="18">
        <f>IF(AN216=0,J216,0)</f>
        <v>0</v>
      </c>
      <c r="AK216" s="18">
        <f>IF(AN216=15,J216,0)</f>
        <v>0</v>
      </c>
      <c r="AL216" s="18">
        <f>IF(AN216=21,J216,0)</f>
        <v>0</v>
      </c>
      <c r="AN216" s="33">
        <v>21</v>
      </c>
      <c r="AO216" s="33">
        <f>G216*0</f>
        <v>0</v>
      </c>
      <c r="AP216" s="33">
        <f>G216*(1-0)</f>
        <v>0</v>
      </c>
      <c r="AQ216" s="30" t="s">
        <v>10</v>
      </c>
      <c r="AV216" s="33">
        <f>AW216+AX216</f>
        <v>0</v>
      </c>
      <c r="AW216" s="33">
        <f>F216*AO216</f>
        <v>0</v>
      </c>
      <c r="AX216" s="33">
        <f>F216*AP216</f>
        <v>0</v>
      </c>
      <c r="AY216" s="34" t="s">
        <v>576</v>
      </c>
      <c r="AZ216" s="34" t="s">
        <v>595</v>
      </c>
      <c r="BA216" s="25" t="s">
        <v>602</v>
      </c>
      <c r="BC216" s="33">
        <f>AW216+AX216</f>
        <v>0</v>
      </c>
      <c r="BD216" s="33">
        <f>G216/(100-BE216)*100</f>
        <v>0</v>
      </c>
      <c r="BE216" s="33">
        <v>0</v>
      </c>
      <c r="BF216" s="33">
        <f>M216</f>
        <v>0</v>
      </c>
      <c r="BH216" s="18">
        <f>F216*AO216</f>
        <v>0</v>
      </c>
      <c r="BI216" s="18">
        <f>F216*AP216</f>
        <v>0</v>
      </c>
      <c r="BJ216" s="18">
        <f>F216*G216</f>
        <v>0</v>
      </c>
    </row>
    <row r="217" spans="1:14" ht="12.75">
      <c r="A217" s="97"/>
      <c r="B217" s="98" t="s">
        <v>200</v>
      </c>
      <c r="C217" s="98"/>
      <c r="D217" s="98" t="s">
        <v>491</v>
      </c>
      <c r="E217" s="97" t="s">
        <v>5</v>
      </c>
      <c r="F217" s="97" t="s">
        <v>5</v>
      </c>
      <c r="G217" s="97"/>
      <c r="H217" s="99">
        <f>H218+H220+H224+H235+H242+H244</f>
        <v>0</v>
      </c>
      <c r="I217" s="99">
        <f>I218+I220+I224+I235+I242+I244</f>
        <v>0</v>
      </c>
      <c r="J217" s="99">
        <f>J218+J220+J224+J235+J242+J244</f>
        <v>0</v>
      </c>
      <c r="K217" s="100">
        <f>IF(J250=0,0,J217/J250)</f>
        <v>0</v>
      </c>
      <c r="L217" s="101"/>
      <c r="M217" s="99">
        <f>M218+M220+M224+M235+M242+M244</f>
        <v>3871.98409</v>
      </c>
      <c r="N217" s="101"/>
    </row>
    <row r="218" spans="1:47" ht="12.75">
      <c r="A218" s="90"/>
      <c r="B218" s="91" t="s">
        <v>200</v>
      </c>
      <c r="C218" s="91" t="s">
        <v>23</v>
      </c>
      <c r="D218" s="91" t="s">
        <v>492</v>
      </c>
      <c r="E218" s="90" t="s">
        <v>5</v>
      </c>
      <c r="F218" s="90" t="s">
        <v>5</v>
      </c>
      <c r="G218" s="90"/>
      <c r="H218" s="92">
        <f>SUM(H219:H219)</f>
        <v>0</v>
      </c>
      <c r="I218" s="92">
        <f>SUM(I219:I219)</f>
        <v>0</v>
      </c>
      <c r="J218" s="92">
        <f>SUM(J219:J219)</f>
        <v>0</v>
      </c>
      <c r="K218" s="93">
        <f>IF(J250=0,0,J218/J250)</f>
        <v>0</v>
      </c>
      <c r="L218" s="94"/>
      <c r="M218" s="92">
        <f>SUM(M219:M219)</f>
        <v>0</v>
      </c>
      <c r="N218" s="94"/>
      <c r="AI218" s="25" t="s">
        <v>200</v>
      </c>
      <c r="AS218" s="36">
        <f>SUM(AJ219:AJ219)</f>
        <v>0</v>
      </c>
      <c r="AT218" s="36">
        <f>SUM(AK219:AK219)</f>
        <v>0</v>
      </c>
      <c r="AU218" s="36">
        <f>SUM(AL219:AL219)</f>
        <v>0</v>
      </c>
    </row>
    <row r="219" spans="1:62" ht="12.75">
      <c r="A219" s="86" t="s">
        <v>175</v>
      </c>
      <c r="B219" s="86" t="s">
        <v>200</v>
      </c>
      <c r="C219" s="86" t="s">
        <v>321</v>
      </c>
      <c r="D219" s="86" t="s">
        <v>493</v>
      </c>
      <c r="E219" s="86" t="s">
        <v>528</v>
      </c>
      <c r="F219" s="87">
        <v>3150</v>
      </c>
      <c r="G219" s="87"/>
      <c r="H219" s="87">
        <f>F219*AO219</f>
        <v>0</v>
      </c>
      <c r="I219" s="87">
        <f>F219*AP219</f>
        <v>0</v>
      </c>
      <c r="J219" s="87">
        <f>F219*G219</f>
        <v>0</v>
      </c>
      <c r="K219" s="88">
        <f>IF(J250=0,0,J219/J250)</f>
        <v>0</v>
      </c>
      <c r="L219" s="87">
        <v>0</v>
      </c>
      <c r="M219" s="87">
        <f>F219*L219</f>
        <v>0</v>
      </c>
      <c r="N219" s="89" t="s">
        <v>559</v>
      </c>
      <c r="Z219" s="33">
        <f>IF(AQ219="5",BJ219,0)</f>
        <v>0</v>
      </c>
      <c r="AB219" s="33">
        <f>IF(AQ219="1",BH219,0)</f>
        <v>0</v>
      </c>
      <c r="AC219" s="33">
        <f>IF(AQ219="1",BI219,0)</f>
        <v>0</v>
      </c>
      <c r="AD219" s="33">
        <f>IF(AQ219="7",BH219,0)</f>
        <v>0</v>
      </c>
      <c r="AE219" s="33">
        <f>IF(AQ219="7",BI219,0)</f>
        <v>0</v>
      </c>
      <c r="AF219" s="33">
        <f>IF(AQ219="2",BH219,0)</f>
        <v>0</v>
      </c>
      <c r="AG219" s="33">
        <f>IF(AQ219="2",BI219,0)</f>
        <v>0</v>
      </c>
      <c r="AH219" s="33">
        <f>IF(AQ219="0",BJ219,0)</f>
        <v>0</v>
      </c>
      <c r="AI219" s="25" t="s">
        <v>200</v>
      </c>
      <c r="AJ219" s="18">
        <f>IF(AN219=0,J219,0)</f>
        <v>0</v>
      </c>
      <c r="AK219" s="18">
        <f>IF(AN219=15,J219,0)</f>
        <v>0</v>
      </c>
      <c r="AL219" s="18">
        <f>IF(AN219=21,J219,0)</f>
        <v>0</v>
      </c>
      <c r="AN219" s="33">
        <v>21</v>
      </c>
      <c r="AO219" s="33">
        <f>G219*0</f>
        <v>0</v>
      </c>
      <c r="AP219" s="33">
        <f>G219*(1-0)</f>
        <v>0</v>
      </c>
      <c r="AQ219" s="30" t="s">
        <v>6</v>
      </c>
      <c r="AV219" s="33">
        <f>AW219+AX219</f>
        <v>0</v>
      </c>
      <c r="AW219" s="33">
        <f>F219*AO219</f>
        <v>0</v>
      </c>
      <c r="AX219" s="33">
        <f>F219*AP219</f>
        <v>0</v>
      </c>
      <c r="AY219" s="34" t="s">
        <v>580</v>
      </c>
      <c r="AZ219" s="34" t="s">
        <v>596</v>
      </c>
      <c r="BA219" s="25" t="s">
        <v>603</v>
      </c>
      <c r="BC219" s="33">
        <f>AW219+AX219</f>
        <v>0</v>
      </c>
      <c r="BD219" s="33">
        <f>G219/(100-BE219)*100</f>
        <v>0</v>
      </c>
      <c r="BE219" s="33">
        <v>0</v>
      </c>
      <c r="BF219" s="33">
        <f>M219</f>
        <v>0</v>
      </c>
      <c r="BH219" s="18">
        <f>F219*AO219</f>
        <v>0</v>
      </c>
      <c r="BI219" s="18">
        <f>F219*AP219</f>
        <v>0</v>
      </c>
      <c r="BJ219" s="18">
        <f>F219*G219</f>
        <v>0</v>
      </c>
    </row>
    <row r="220" spans="1:47" ht="12.75">
      <c r="A220" s="90"/>
      <c r="B220" s="91" t="s">
        <v>200</v>
      </c>
      <c r="C220" s="91" t="s">
        <v>26</v>
      </c>
      <c r="D220" s="91" t="s">
        <v>494</v>
      </c>
      <c r="E220" s="90" t="s">
        <v>5</v>
      </c>
      <c r="F220" s="90" t="s">
        <v>5</v>
      </c>
      <c r="G220" s="90"/>
      <c r="H220" s="92">
        <f>SUM(H221:H222)</f>
        <v>0</v>
      </c>
      <c r="I220" s="92">
        <f>SUM(I221:I222)</f>
        <v>0</v>
      </c>
      <c r="J220" s="92">
        <f>SUM(J221:J222)</f>
        <v>0</v>
      </c>
      <c r="K220" s="93">
        <f>IF(J250=0,0,J220/J250)</f>
        <v>0</v>
      </c>
      <c r="L220" s="94"/>
      <c r="M220" s="92">
        <f>SUM(M221:M222)</f>
        <v>285.91405000000003</v>
      </c>
      <c r="N220" s="94"/>
      <c r="AI220" s="25" t="s">
        <v>200</v>
      </c>
      <c r="AS220" s="36">
        <f>SUM(AJ221:AJ222)</f>
        <v>0</v>
      </c>
      <c r="AT220" s="36">
        <f>SUM(AK221:AK222)</f>
        <v>0</v>
      </c>
      <c r="AU220" s="36">
        <f>SUM(AL221:AL222)</f>
        <v>0</v>
      </c>
    </row>
    <row r="221" spans="1:62" ht="12.75">
      <c r="A221" s="86" t="s">
        <v>176</v>
      </c>
      <c r="B221" s="86" t="s">
        <v>200</v>
      </c>
      <c r="C221" s="86" t="s">
        <v>322</v>
      </c>
      <c r="D221" s="86" t="s">
        <v>495</v>
      </c>
      <c r="E221" s="86" t="s">
        <v>528</v>
      </c>
      <c r="F221" s="87">
        <v>3150</v>
      </c>
      <c r="G221" s="87"/>
      <c r="H221" s="87">
        <f>F221*AO221</f>
        <v>0</v>
      </c>
      <c r="I221" s="87">
        <f>F221*AP221</f>
        <v>0</v>
      </c>
      <c r="J221" s="87">
        <f>F221*G221</f>
        <v>0</v>
      </c>
      <c r="K221" s="88">
        <f>IF(J250=0,0,J221/J250)</f>
        <v>0</v>
      </c>
      <c r="L221" s="87">
        <v>0</v>
      </c>
      <c r="M221" s="87">
        <f>F221*L221</f>
        <v>0</v>
      </c>
      <c r="N221" s="89" t="s">
        <v>559</v>
      </c>
      <c r="Z221" s="33">
        <f>IF(AQ221="5",BJ221,0)</f>
        <v>0</v>
      </c>
      <c r="AB221" s="33">
        <f>IF(AQ221="1",BH221,0)</f>
        <v>0</v>
      </c>
      <c r="AC221" s="33">
        <f>IF(AQ221="1",BI221,0)</f>
        <v>0</v>
      </c>
      <c r="AD221" s="33">
        <f>IF(AQ221="7",BH221,0)</f>
        <v>0</v>
      </c>
      <c r="AE221" s="33">
        <f>IF(AQ221="7",BI221,0)</f>
        <v>0</v>
      </c>
      <c r="AF221" s="33">
        <f>IF(AQ221="2",BH221,0)</f>
        <v>0</v>
      </c>
      <c r="AG221" s="33">
        <f>IF(AQ221="2",BI221,0)</f>
        <v>0</v>
      </c>
      <c r="AH221" s="33">
        <f>IF(AQ221="0",BJ221,0)</f>
        <v>0</v>
      </c>
      <c r="AI221" s="25" t="s">
        <v>200</v>
      </c>
      <c r="AJ221" s="18">
        <f>IF(AN221=0,J221,0)</f>
        <v>0</v>
      </c>
      <c r="AK221" s="18">
        <f>IF(AN221=15,J221,0)</f>
        <v>0</v>
      </c>
      <c r="AL221" s="18">
        <f>IF(AN221=21,J221,0)</f>
        <v>0</v>
      </c>
      <c r="AN221" s="33">
        <v>21</v>
      </c>
      <c r="AO221" s="33">
        <f>G221*0</f>
        <v>0</v>
      </c>
      <c r="AP221" s="33">
        <f>G221*(1-0)</f>
        <v>0</v>
      </c>
      <c r="AQ221" s="30" t="s">
        <v>6</v>
      </c>
      <c r="AV221" s="33">
        <f>AW221+AX221</f>
        <v>0</v>
      </c>
      <c r="AW221" s="33">
        <f>F221*AO221</f>
        <v>0</v>
      </c>
      <c r="AX221" s="33">
        <f>F221*AP221</f>
        <v>0</v>
      </c>
      <c r="AY221" s="34" t="s">
        <v>581</v>
      </c>
      <c r="AZ221" s="34" t="s">
        <v>597</v>
      </c>
      <c r="BA221" s="25" t="s">
        <v>603</v>
      </c>
      <c r="BC221" s="33">
        <f>AW221+AX221</f>
        <v>0</v>
      </c>
      <c r="BD221" s="33">
        <f>G221/(100-BE221)*100</f>
        <v>0</v>
      </c>
      <c r="BE221" s="33">
        <v>0</v>
      </c>
      <c r="BF221" s="33">
        <f>M221</f>
        <v>0</v>
      </c>
      <c r="BH221" s="18">
        <f>F221*AO221</f>
        <v>0</v>
      </c>
      <c r="BI221" s="18">
        <f>F221*AP221</f>
        <v>0</v>
      </c>
      <c r="BJ221" s="18">
        <f>F221*G221</f>
        <v>0</v>
      </c>
    </row>
    <row r="222" spans="1:62" ht="12.75">
      <c r="A222" s="86" t="s">
        <v>177</v>
      </c>
      <c r="B222" s="86" t="s">
        <v>200</v>
      </c>
      <c r="C222" s="86" t="s">
        <v>323</v>
      </c>
      <c r="D222" s="86" t="s">
        <v>496</v>
      </c>
      <c r="E222" s="86" t="s">
        <v>526</v>
      </c>
      <c r="F222" s="87">
        <v>655</v>
      </c>
      <c r="G222" s="87"/>
      <c r="H222" s="87">
        <f>F222*AO222</f>
        <v>0</v>
      </c>
      <c r="I222" s="87">
        <f>F222*AP222</f>
        <v>0</v>
      </c>
      <c r="J222" s="87">
        <f>F222*G222</f>
        <v>0</v>
      </c>
      <c r="K222" s="88">
        <f>IF(J250=0,0,J222/J250)</f>
        <v>0</v>
      </c>
      <c r="L222" s="87">
        <v>0.43651</v>
      </c>
      <c r="M222" s="87">
        <f>F222*L222</f>
        <v>285.91405000000003</v>
      </c>
      <c r="N222" s="89" t="s">
        <v>559</v>
      </c>
      <c r="Z222" s="33">
        <f>IF(AQ222="5",BJ222,0)</f>
        <v>0</v>
      </c>
      <c r="AB222" s="33">
        <f>IF(AQ222="1",BH222,0)</f>
        <v>0</v>
      </c>
      <c r="AC222" s="33">
        <f>IF(AQ222="1",BI222,0)</f>
        <v>0</v>
      </c>
      <c r="AD222" s="33">
        <f>IF(AQ222="7",BH222,0)</f>
        <v>0</v>
      </c>
      <c r="AE222" s="33">
        <f>IF(AQ222="7",BI222,0)</f>
        <v>0</v>
      </c>
      <c r="AF222" s="33">
        <f>IF(AQ222="2",BH222,0)</f>
        <v>0</v>
      </c>
      <c r="AG222" s="33">
        <f>IF(AQ222="2",BI222,0)</f>
        <v>0</v>
      </c>
      <c r="AH222" s="33">
        <f>IF(AQ222="0",BJ222,0)</f>
        <v>0</v>
      </c>
      <c r="AI222" s="25" t="s">
        <v>200</v>
      </c>
      <c r="AJ222" s="18">
        <f>IF(AN222=0,J222,0)</f>
        <v>0</v>
      </c>
      <c r="AK222" s="18">
        <f>IF(AN222=15,J222,0)</f>
        <v>0</v>
      </c>
      <c r="AL222" s="18">
        <f>IF(AN222=21,J222,0)</f>
        <v>0</v>
      </c>
      <c r="AN222" s="33">
        <v>21</v>
      </c>
      <c r="AO222" s="33">
        <f>G222*0.415445770991169</f>
        <v>0</v>
      </c>
      <c r="AP222" s="33">
        <f>G222*(1-0.415445770991169)</f>
        <v>0</v>
      </c>
      <c r="AQ222" s="30" t="s">
        <v>6</v>
      </c>
      <c r="AV222" s="33">
        <f>AW222+AX222</f>
        <v>0</v>
      </c>
      <c r="AW222" s="33">
        <f>F222*AO222</f>
        <v>0</v>
      </c>
      <c r="AX222" s="33">
        <f>F222*AP222</f>
        <v>0</v>
      </c>
      <c r="AY222" s="34" t="s">
        <v>581</v>
      </c>
      <c r="AZ222" s="34" t="s">
        <v>597</v>
      </c>
      <c r="BA222" s="25" t="s">
        <v>603</v>
      </c>
      <c r="BC222" s="33">
        <f>AW222+AX222</f>
        <v>0</v>
      </c>
      <c r="BD222" s="33">
        <f>G222/(100-BE222)*100</f>
        <v>0</v>
      </c>
      <c r="BE222" s="33">
        <v>0</v>
      </c>
      <c r="BF222" s="33">
        <f>M222</f>
        <v>285.91405000000003</v>
      </c>
      <c r="BH222" s="18">
        <f>F222*AO222</f>
        <v>0</v>
      </c>
      <c r="BI222" s="18">
        <f>F222*AP222</f>
        <v>0</v>
      </c>
      <c r="BJ222" s="18">
        <f>F222*G222</f>
        <v>0</v>
      </c>
    </row>
    <row r="223" spans="1:14" ht="12.75">
      <c r="A223" s="95"/>
      <c r="B223" s="95"/>
      <c r="C223" s="95"/>
      <c r="D223" s="96" t="s">
        <v>497</v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1:47" ht="12.75">
      <c r="A224" s="90"/>
      <c r="B224" s="91" t="s">
        <v>200</v>
      </c>
      <c r="C224" s="91" t="s">
        <v>61</v>
      </c>
      <c r="D224" s="91" t="s">
        <v>498</v>
      </c>
      <c r="E224" s="90" t="s">
        <v>5</v>
      </c>
      <c r="F224" s="90" t="s">
        <v>5</v>
      </c>
      <c r="G224" s="90"/>
      <c r="H224" s="92">
        <f>SUM(H225:H234)</f>
        <v>0</v>
      </c>
      <c r="I224" s="92">
        <f>SUM(I225:I234)</f>
        <v>0</v>
      </c>
      <c r="J224" s="92">
        <f>SUM(J225:J234)</f>
        <v>0</v>
      </c>
      <c r="K224" s="93">
        <f>IF(J250=0,0,J224/J250)</f>
        <v>0</v>
      </c>
      <c r="L224" s="94"/>
      <c r="M224" s="92">
        <f>SUM(M225:M234)</f>
        <v>2340.84314</v>
      </c>
      <c r="N224" s="94"/>
      <c r="AI224" s="25" t="s">
        <v>200</v>
      </c>
      <c r="AS224" s="36">
        <f>SUM(AJ225:AJ234)</f>
        <v>0</v>
      </c>
      <c r="AT224" s="36">
        <f>SUM(AK225:AK234)</f>
        <v>0</v>
      </c>
      <c r="AU224" s="36">
        <f>SUM(AL225:AL234)</f>
        <v>0</v>
      </c>
    </row>
    <row r="225" spans="1:62" ht="12.75">
      <c r="A225" s="86" t="s">
        <v>178</v>
      </c>
      <c r="B225" s="86" t="s">
        <v>200</v>
      </c>
      <c r="C225" s="86" t="s">
        <v>324</v>
      </c>
      <c r="D225" s="86" t="s">
        <v>499</v>
      </c>
      <c r="E225" s="86" t="s">
        <v>528</v>
      </c>
      <c r="F225" s="87">
        <v>2050</v>
      </c>
      <c r="G225" s="87"/>
      <c r="H225" s="87">
        <f>F225*AO225</f>
        <v>0</v>
      </c>
      <c r="I225" s="87">
        <f>F225*AP225</f>
        <v>0</v>
      </c>
      <c r="J225" s="87">
        <f>F225*G225</f>
        <v>0</v>
      </c>
      <c r="K225" s="88">
        <f>IF(J250=0,0,J225/J250)</f>
        <v>0</v>
      </c>
      <c r="L225" s="87">
        <v>0.378</v>
      </c>
      <c r="M225" s="87">
        <f>F225*L225</f>
        <v>774.9</v>
      </c>
      <c r="N225" s="89" t="s">
        <v>559</v>
      </c>
      <c r="Z225" s="33">
        <f>IF(AQ225="5",BJ225,0)</f>
        <v>0</v>
      </c>
      <c r="AB225" s="33">
        <f>IF(AQ225="1",BH225,0)</f>
        <v>0</v>
      </c>
      <c r="AC225" s="33">
        <f>IF(AQ225="1",BI225,0)</f>
        <v>0</v>
      </c>
      <c r="AD225" s="33">
        <f>IF(AQ225="7",BH225,0)</f>
        <v>0</v>
      </c>
      <c r="AE225" s="33">
        <f>IF(AQ225="7",BI225,0)</f>
        <v>0</v>
      </c>
      <c r="AF225" s="33">
        <f>IF(AQ225="2",BH225,0)</f>
        <v>0</v>
      </c>
      <c r="AG225" s="33">
        <f>IF(AQ225="2",BI225,0)</f>
        <v>0</v>
      </c>
      <c r="AH225" s="33">
        <f>IF(AQ225="0",BJ225,0)</f>
        <v>0</v>
      </c>
      <c r="AI225" s="25" t="s">
        <v>200</v>
      </c>
      <c r="AJ225" s="18">
        <f>IF(AN225=0,J225,0)</f>
        <v>0</v>
      </c>
      <c r="AK225" s="18">
        <f>IF(AN225=15,J225,0)</f>
        <v>0</v>
      </c>
      <c r="AL225" s="18">
        <f>IF(AN225=21,J225,0)</f>
        <v>0</v>
      </c>
      <c r="AN225" s="33">
        <v>21</v>
      </c>
      <c r="AO225" s="33">
        <f>G225*0.863288409703504</f>
        <v>0</v>
      </c>
      <c r="AP225" s="33">
        <f>G225*(1-0.863288409703504)</f>
        <v>0</v>
      </c>
      <c r="AQ225" s="30" t="s">
        <v>6</v>
      </c>
      <c r="AV225" s="33">
        <f>AW225+AX225</f>
        <v>0</v>
      </c>
      <c r="AW225" s="33">
        <f>F225*AO225</f>
        <v>0</v>
      </c>
      <c r="AX225" s="33">
        <f>F225*AP225</f>
        <v>0</v>
      </c>
      <c r="AY225" s="34" t="s">
        <v>582</v>
      </c>
      <c r="AZ225" s="34" t="s">
        <v>598</v>
      </c>
      <c r="BA225" s="25" t="s">
        <v>603</v>
      </c>
      <c r="BC225" s="33">
        <f>AW225+AX225</f>
        <v>0</v>
      </c>
      <c r="BD225" s="33">
        <f>G225/(100-BE225)*100</f>
        <v>0</v>
      </c>
      <c r="BE225" s="33">
        <v>0</v>
      </c>
      <c r="BF225" s="33">
        <f>M225</f>
        <v>774.9</v>
      </c>
      <c r="BH225" s="18">
        <f>F225*AO225</f>
        <v>0</v>
      </c>
      <c r="BI225" s="18">
        <f>F225*AP225</f>
        <v>0</v>
      </c>
      <c r="BJ225" s="18">
        <f>F225*G225</f>
        <v>0</v>
      </c>
    </row>
    <row r="226" spans="1:14" ht="12.75">
      <c r="A226" s="95"/>
      <c r="B226" s="95"/>
      <c r="C226" s="95"/>
      <c r="D226" s="96" t="s">
        <v>500</v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1:62" ht="12.75">
      <c r="A227" s="86" t="s">
        <v>179</v>
      </c>
      <c r="B227" s="86" t="s">
        <v>200</v>
      </c>
      <c r="C227" s="86" t="s">
        <v>325</v>
      </c>
      <c r="D227" s="86" t="s">
        <v>501</v>
      </c>
      <c r="E227" s="86" t="s">
        <v>528</v>
      </c>
      <c r="F227" s="87">
        <v>2050</v>
      </c>
      <c r="G227" s="87"/>
      <c r="H227" s="87">
        <f>F227*AO227</f>
        <v>0</v>
      </c>
      <c r="I227" s="87">
        <f>F227*AP227</f>
        <v>0</v>
      </c>
      <c r="J227" s="87">
        <f>F227*G227</f>
        <v>0</v>
      </c>
      <c r="K227" s="88">
        <f>IF(J250=0,0,J227/J250)</f>
        <v>0</v>
      </c>
      <c r="L227" s="87">
        <v>0.4284</v>
      </c>
      <c r="M227" s="87">
        <f>F227*L227</f>
        <v>878.22</v>
      </c>
      <c r="N227" s="89" t="s">
        <v>559</v>
      </c>
      <c r="Z227" s="33">
        <f>IF(AQ227="5",BJ227,0)</f>
        <v>0</v>
      </c>
      <c r="AB227" s="33">
        <f>IF(AQ227="1",BH227,0)</f>
        <v>0</v>
      </c>
      <c r="AC227" s="33">
        <f>IF(AQ227="1",BI227,0)</f>
        <v>0</v>
      </c>
      <c r="AD227" s="33">
        <f>IF(AQ227="7",BH227,0)</f>
        <v>0</v>
      </c>
      <c r="AE227" s="33">
        <f>IF(AQ227="7",BI227,0)</f>
        <v>0</v>
      </c>
      <c r="AF227" s="33">
        <f>IF(AQ227="2",BH227,0)</f>
        <v>0</v>
      </c>
      <c r="AG227" s="33">
        <f>IF(AQ227="2",BI227,0)</f>
        <v>0</v>
      </c>
      <c r="AH227" s="33">
        <f>IF(AQ227="0",BJ227,0)</f>
        <v>0</v>
      </c>
      <c r="AI227" s="25" t="s">
        <v>200</v>
      </c>
      <c r="AJ227" s="18">
        <f>IF(AN227=0,J227,0)</f>
        <v>0</v>
      </c>
      <c r="AK227" s="18">
        <f>IF(AN227=15,J227,0)</f>
        <v>0</v>
      </c>
      <c r="AL227" s="18">
        <f>IF(AN227=21,J227,0)</f>
        <v>0</v>
      </c>
      <c r="AN227" s="33">
        <v>21</v>
      </c>
      <c r="AO227" s="33">
        <f>G227*0.873542168674699</f>
        <v>0</v>
      </c>
      <c r="AP227" s="33">
        <f>G227*(1-0.873542168674699)</f>
        <v>0</v>
      </c>
      <c r="AQ227" s="30" t="s">
        <v>6</v>
      </c>
      <c r="AV227" s="33">
        <f>AW227+AX227</f>
        <v>0</v>
      </c>
      <c r="AW227" s="33">
        <f>F227*AO227</f>
        <v>0</v>
      </c>
      <c r="AX227" s="33">
        <f>F227*AP227</f>
        <v>0</v>
      </c>
      <c r="AY227" s="34" t="s">
        <v>582</v>
      </c>
      <c r="AZ227" s="34" t="s">
        <v>598</v>
      </c>
      <c r="BA227" s="25" t="s">
        <v>603</v>
      </c>
      <c r="BC227" s="33">
        <f>AW227+AX227</f>
        <v>0</v>
      </c>
      <c r="BD227" s="33">
        <f>G227/(100-BE227)*100</f>
        <v>0</v>
      </c>
      <c r="BE227" s="33">
        <v>0</v>
      </c>
      <c r="BF227" s="33">
        <f>M227</f>
        <v>878.22</v>
      </c>
      <c r="BH227" s="18">
        <f>F227*AO227</f>
        <v>0</v>
      </c>
      <c r="BI227" s="18">
        <f>F227*AP227</f>
        <v>0</v>
      </c>
      <c r="BJ227" s="18">
        <f>F227*G227</f>
        <v>0</v>
      </c>
    </row>
    <row r="228" spans="1:14" ht="12.75">
      <c r="A228" s="95"/>
      <c r="B228" s="95"/>
      <c r="C228" s="95"/>
      <c r="D228" s="96" t="s">
        <v>500</v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1:62" ht="12.75">
      <c r="A229" s="86" t="s">
        <v>180</v>
      </c>
      <c r="B229" s="86" t="s">
        <v>200</v>
      </c>
      <c r="C229" s="86" t="s">
        <v>326</v>
      </c>
      <c r="D229" s="86" t="s">
        <v>502</v>
      </c>
      <c r="E229" s="86" t="s">
        <v>528</v>
      </c>
      <c r="F229" s="87">
        <v>2050</v>
      </c>
      <c r="G229" s="87"/>
      <c r="H229" s="87">
        <f aca="true" t="shared" si="226" ref="H229:H234">F229*AO229</f>
        <v>0</v>
      </c>
      <c r="I229" s="87">
        <f aca="true" t="shared" si="227" ref="I229:I234">F229*AP229</f>
        <v>0</v>
      </c>
      <c r="J229" s="87">
        <f aca="true" t="shared" si="228" ref="J229:J234">F229*G229</f>
        <v>0</v>
      </c>
      <c r="K229" s="88">
        <f>IF(J250=0,0,J229/J250)</f>
        <v>0</v>
      </c>
      <c r="L229" s="87">
        <v>0.12966</v>
      </c>
      <c r="M229" s="87">
        <f aca="true" t="shared" si="229" ref="M229:M234">F229*L229</f>
        <v>265.803</v>
      </c>
      <c r="N229" s="89" t="s">
        <v>559</v>
      </c>
      <c r="Z229" s="33">
        <f aca="true" t="shared" si="230" ref="Z229:Z234">IF(AQ229="5",BJ229,0)</f>
        <v>0</v>
      </c>
      <c r="AB229" s="33">
        <f aca="true" t="shared" si="231" ref="AB229:AB234">IF(AQ229="1",BH229,0)</f>
        <v>0</v>
      </c>
      <c r="AC229" s="33">
        <f aca="true" t="shared" si="232" ref="AC229:AC234">IF(AQ229="1",BI229,0)</f>
        <v>0</v>
      </c>
      <c r="AD229" s="33">
        <f aca="true" t="shared" si="233" ref="AD229:AD234">IF(AQ229="7",BH229,0)</f>
        <v>0</v>
      </c>
      <c r="AE229" s="33">
        <f aca="true" t="shared" si="234" ref="AE229:AE234">IF(AQ229="7",BI229,0)</f>
        <v>0</v>
      </c>
      <c r="AF229" s="33">
        <f aca="true" t="shared" si="235" ref="AF229:AF234">IF(AQ229="2",BH229,0)</f>
        <v>0</v>
      </c>
      <c r="AG229" s="33">
        <f aca="true" t="shared" si="236" ref="AG229:AG234">IF(AQ229="2",BI229,0)</f>
        <v>0</v>
      </c>
      <c r="AH229" s="33">
        <f aca="true" t="shared" si="237" ref="AH229:AH234">IF(AQ229="0",BJ229,0)</f>
        <v>0</v>
      </c>
      <c r="AI229" s="25" t="s">
        <v>200</v>
      </c>
      <c r="AJ229" s="18">
        <f aca="true" t="shared" si="238" ref="AJ229:AJ234">IF(AN229=0,J229,0)</f>
        <v>0</v>
      </c>
      <c r="AK229" s="18">
        <f aca="true" t="shared" si="239" ref="AK229:AK234">IF(AN229=15,J229,0)</f>
        <v>0</v>
      </c>
      <c r="AL229" s="18">
        <f aca="true" t="shared" si="240" ref="AL229:AL234">IF(AN229=21,J229,0)</f>
        <v>0</v>
      </c>
      <c r="AN229" s="33">
        <v>21</v>
      </c>
      <c r="AO229" s="33">
        <f>G229*0.920580551523948</f>
        <v>0</v>
      </c>
      <c r="AP229" s="33">
        <f>G229*(1-0.920580551523948)</f>
        <v>0</v>
      </c>
      <c r="AQ229" s="30" t="s">
        <v>6</v>
      </c>
      <c r="AV229" s="33">
        <f aca="true" t="shared" si="241" ref="AV229:AV234">AW229+AX229</f>
        <v>0</v>
      </c>
      <c r="AW229" s="33">
        <f aca="true" t="shared" si="242" ref="AW229:AW234">F229*AO229</f>
        <v>0</v>
      </c>
      <c r="AX229" s="33">
        <f aca="true" t="shared" si="243" ref="AX229:AX234">F229*AP229</f>
        <v>0</v>
      </c>
      <c r="AY229" s="34" t="s">
        <v>582</v>
      </c>
      <c r="AZ229" s="34" t="s">
        <v>598</v>
      </c>
      <c r="BA229" s="25" t="s">
        <v>603</v>
      </c>
      <c r="BC229" s="33">
        <f aca="true" t="shared" si="244" ref="BC229:BC234">AW229+AX229</f>
        <v>0</v>
      </c>
      <c r="BD229" s="33">
        <f aca="true" t="shared" si="245" ref="BD229:BD234">G229/(100-BE229)*100</f>
        <v>0</v>
      </c>
      <c r="BE229" s="33">
        <v>0</v>
      </c>
      <c r="BF229" s="33">
        <f aca="true" t="shared" si="246" ref="BF229:BF234">M229</f>
        <v>265.803</v>
      </c>
      <c r="BH229" s="18">
        <f aca="true" t="shared" si="247" ref="BH229:BH234">F229*AO229</f>
        <v>0</v>
      </c>
      <c r="BI229" s="18">
        <f aca="true" t="shared" si="248" ref="BI229:BI234">F229*AP229</f>
        <v>0</v>
      </c>
      <c r="BJ229" s="18">
        <f aca="true" t="shared" si="249" ref="BJ229:BJ234">F229*G229</f>
        <v>0</v>
      </c>
    </row>
    <row r="230" spans="1:62" ht="12.75">
      <c r="A230" s="86" t="s">
        <v>181</v>
      </c>
      <c r="B230" s="86" t="s">
        <v>200</v>
      </c>
      <c r="C230" s="86" t="s">
        <v>327</v>
      </c>
      <c r="D230" s="86" t="s">
        <v>503</v>
      </c>
      <c r="E230" s="86" t="s">
        <v>528</v>
      </c>
      <c r="F230" s="87">
        <v>2050</v>
      </c>
      <c r="G230" s="87"/>
      <c r="H230" s="87">
        <f t="shared" si="226"/>
        <v>0</v>
      </c>
      <c r="I230" s="87">
        <f t="shared" si="227"/>
        <v>0</v>
      </c>
      <c r="J230" s="87">
        <f t="shared" si="228"/>
        <v>0</v>
      </c>
      <c r="K230" s="88">
        <f>IF(J250=0,0,J230/J250)</f>
        <v>0</v>
      </c>
      <c r="L230" s="87">
        <v>0.18463</v>
      </c>
      <c r="M230" s="87">
        <f t="shared" si="229"/>
        <v>378.4915</v>
      </c>
      <c r="N230" s="89" t="s">
        <v>559</v>
      </c>
      <c r="Z230" s="33">
        <f t="shared" si="230"/>
        <v>0</v>
      </c>
      <c r="AB230" s="33">
        <f t="shared" si="231"/>
        <v>0</v>
      </c>
      <c r="AC230" s="33">
        <f t="shared" si="232"/>
        <v>0</v>
      </c>
      <c r="AD230" s="33">
        <f t="shared" si="233"/>
        <v>0</v>
      </c>
      <c r="AE230" s="33">
        <f t="shared" si="234"/>
        <v>0</v>
      </c>
      <c r="AF230" s="33">
        <f t="shared" si="235"/>
        <v>0</v>
      </c>
      <c r="AG230" s="33">
        <f t="shared" si="236"/>
        <v>0</v>
      </c>
      <c r="AH230" s="33">
        <f t="shared" si="237"/>
        <v>0</v>
      </c>
      <c r="AI230" s="25" t="s">
        <v>200</v>
      </c>
      <c r="AJ230" s="18">
        <f t="shared" si="238"/>
        <v>0</v>
      </c>
      <c r="AK230" s="18">
        <f t="shared" si="239"/>
        <v>0</v>
      </c>
      <c r="AL230" s="18">
        <f t="shared" si="240"/>
        <v>0</v>
      </c>
      <c r="AN230" s="33">
        <v>21</v>
      </c>
      <c r="AO230" s="33">
        <f>G230*0.877218225419664</f>
        <v>0</v>
      </c>
      <c r="AP230" s="33">
        <f>G230*(1-0.877218225419664)</f>
        <v>0</v>
      </c>
      <c r="AQ230" s="30" t="s">
        <v>6</v>
      </c>
      <c r="AV230" s="33">
        <f t="shared" si="241"/>
        <v>0</v>
      </c>
      <c r="AW230" s="33">
        <f t="shared" si="242"/>
        <v>0</v>
      </c>
      <c r="AX230" s="33">
        <f t="shared" si="243"/>
        <v>0</v>
      </c>
      <c r="AY230" s="34" t="s">
        <v>582</v>
      </c>
      <c r="AZ230" s="34" t="s">
        <v>598</v>
      </c>
      <c r="BA230" s="25" t="s">
        <v>603</v>
      </c>
      <c r="BC230" s="33">
        <f t="shared" si="244"/>
        <v>0</v>
      </c>
      <c r="BD230" s="33">
        <f t="shared" si="245"/>
        <v>0</v>
      </c>
      <c r="BE230" s="33">
        <v>0</v>
      </c>
      <c r="BF230" s="33">
        <f t="shared" si="246"/>
        <v>378.4915</v>
      </c>
      <c r="BH230" s="18">
        <f t="shared" si="247"/>
        <v>0</v>
      </c>
      <c r="BI230" s="18">
        <f t="shared" si="248"/>
        <v>0</v>
      </c>
      <c r="BJ230" s="18">
        <f t="shared" si="249"/>
        <v>0</v>
      </c>
    </row>
    <row r="231" spans="1:62" ht="12.75">
      <c r="A231" s="86" t="s">
        <v>182</v>
      </c>
      <c r="B231" s="86" t="s">
        <v>200</v>
      </c>
      <c r="C231" s="86" t="s">
        <v>328</v>
      </c>
      <c r="D231" s="86" t="s">
        <v>504</v>
      </c>
      <c r="E231" s="86" t="s">
        <v>528</v>
      </c>
      <c r="F231" s="87">
        <v>4100</v>
      </c>
      <c r="G231" s="87"/>
      <c r="H231" s="87">
        <f t="shared" si="226"/>
        <v>0</v>
      </c>
      <c r="I231" s="87">
        <f t="shared" si="227"/>
        <v>0</v>
      </c>
      <c r="J231" s="87">
        <f t="shared" si="228"/>
        <v>0</v>
      </c>
      <c r="K231" s="88">
        <f>IF(J250=0,0,J231/J250)</f>
        <v>0</v>
      </c>
      <c r="L231" s="87">
        <v>0.00071</v>
      </c>
      <c r="M231" s="87">
        <f t="shared" si="229"/>
        <v>2.911</v>
      </c>
      <c r="N231" s="89" t="s">
        <v>559</v>
      </c>
      <c r="Z231" s="33">
        <f t="shared" si="230"/>
        <v>0</v>
      </c>
      <c r="AB231" s="33">
        <f t="shared" si="231"/>
        <v>0</v>
      </c>
      <c r="AC231" s="33">
        <f t="shared" si="232"/>
        <v>0</v>
      </c>
      <c r="AD231" s="33">
        <f t="shared" si="233"/>
        <v>0</v>
      </c>
      <c r="AE231" s="33">
        <f t="shared" si="234"/>
        <v>0</v>
      </c>
      <c r="AF231" s="33">
        <f t="shared" si="235"/>
        <v>0</v>
      </c>
      <c r="AG231" s="33">
        <f t="shared" si="236"/>
        <v>0</v>
      </c>
      <c r="AH231" s="33">
        <f t="shared" si="237"/>
        <v>0</v>
      </c>
      <c r="AI231" s="25" t="s">
        <v>200</v>
      </c>
      <c r="AJ231" s="18">
        <f t="shared" si="238"/>
        <v>0</v>
      </c>
      <c r="AK231" s="18">
        <f t="shared" si="239"/>
        <v>0</v>
      </c>
      <c r="AL231" s="18">
        <f t="shared" si="240"/>
        <v>0</v>
      </c>
      <c r="AN231" s="33">
        <v>21</v>
      </c>
      <c r="AO231" s="33">
        <f>G231*0.892185954500495</f>
        <v>0</v>
      </c>
      <c r="AP231" s="33">
        <f>G231*(1-0.892185954500495)</f>
        <v>0</v>
      </c>
      <c r="AQ231" s="30" t="s">
        <v>6</v>
      </c>
      <c r="AV231" s="33">
        <f t="shared" si="241"/>
        <v>0</v>
      </c>
      <c r="AW231" s="33">
        <f t="shared" si="242"/>
        <v>0</v>
      </c>
      <c r="AX231" s="33">
        <f t="shared" si="243"/>
        <v>0</v>
      </c>
      <c r="AY231" s="34" t="s">
        <v>582</v>
      </c>
      <c r="AZ231" s="34" t="s">
        <v>598</v>
      </c>
      <c r="BA231" s="25" t="s">
        <v>603</v>
      </c>
      <c r="BC231" s="33">
        <f t="shared" si="244"/>
        <v>0</v>
      </c>
      <c r="BD231" s="33">
        <f t="shared" si="245"/>
        <v>0</v>
      </c>
      <c r="BE231" s="33">
        <v>0</v>
      </c>
      <c r="BF231" s="33">
        <f t="shared" si="246"/>
        <v>2.911</v>
      </c>
      <c r="BH231" s="18">
        <f t="shared" si="247"/>
        <v>0</v>
      </c>
      <c r="BI231" s="18">
        <f t="shared" si="248"/>
        <v>0</v>
      </c>
      <c r="BJ231" s="18">
        <f t="shared" si="249"/>
        <v>0</v>
      </c>
    </row>
    <row r="232" spans="1:62" ht="12.75">
      <c r="A232" s="86" t="s">
        <v>183</v>
      </c>
      <c r="B232" s="86" t="s">
        <v>200</v>
      </c>
      <c r="C232" s="86" t="s">
        <v>329</v>
      </c>
      <c r="D232" s="86" t="s">
        <v>505</v>
      </c>
      <c r="E232" s="86" t="s">
        <v>528</v>
      </c>
      <c r="F232" s="87">
        <v>43.5</v>
      </c>
      <c r="G232" s="87"/>
      <c r="H232" s="87">
        <f t="shared" si="226"/>
        <v>0</v>
      </c>
      <c r="I232" s="87">
        <f t="shared" si="227"/>
        <v>0</v>
      </c>
      <c r="J232" s="87">
        <f t="shared" si="228"/>
        <v>0</v>
      </c>
      <c r="K232" s="88">
        <f>IF(J250=0,0,J232/J250)</f>
        <v>0</v>
      </c>
      <c r="L232" s="87">
        <v>0.63291</v>
      </c>
      <c r="M232" s="87">
        <f t="shared" si="229"/>
        <v>27.531585</v>
      </c>
      <c r="N232" s="89" t="s">
        <v>559</v>
      </c>
      <c r="Z232" s="33">
        <f t="shared" si="230"/>
        <v>0</v>
      </c>
      <c r="AB232" s="33">
        <f t="shared" si="231"/>
        <v>0</v>
      </c>
      <c r="AC232" s="33">
        <f t="shared" si="232"/>
        <v>0</v>
      </c>
      <c r="AD232" s="33">
        <f t="shared" si="233"/>
        <v>0</v>
      </c>
      <c r="AE232" s="33">
        <f t="shared" si="234"/>
        <v>0</v>
      </c>
      <c r="AF232" s="33">
        <f t="shared" si="235"/>
        <v>0</v>
      </c>
      <c r="AG232" s="33">
        <f t="shared" si="236"/>
        <v>0</v>
      </c>
      <c r="AH232" s="33">
        <f t="shared" si="237"/>
        <v>0</v>
      </c>
      <c r="AI232" s="25" t="s">
        <v>200</v>
      </c>
      <c r="AJ232" s="18">
        <f t="shared" si="238"/>
        <v>0</v>
      </c>
      <c r="AK232" s="18">
        <f t="shared" si="239"/>
        <v>0</v>
      </c>
      <c r="AL232" s="18">
        <f t="shared" si="240"/>
        <v>0</v>
      </c>
      <c r="AN232" s="33">
        <v>21</v>
      </c>
      <c r="AO232" s="33">
        <f>G232*0.862524527092017</f>
        <v>0</v>
      </c>
      <c r="AP232" s="33">
        <f>G232*(1-0.862524527092017)</f>
        <v>0</v>
      </c>
      <c r="AQ232" s="30" t="s">
        <v>6</v>
      </c>
      <c r="AV232" s="33">
        <f t="shared" si="241"/>
        <v>0</v>
      </c>
      <c r="AW232" s="33">
        <f t="shared" si="242"/>
        <v>0</v>
      </c>
      <c r="AX232" s="33">
        <f t="shared" si="243"/>
        <v>0</v>
      </c>
      <c r="AY232" s="34" t="s">
        <v>582</v>
      </c>
      <c r="AZ232" s="34" t="s">
        <v>598</v>
      </c>
      <c r="BA232" s="25" t="s">
        <v>603</v>
      </c>
      <c r="BC232" s="33">
        <f t="shared" si="244"/>
        <v>0</v>
      </c>
      <c r="BD232" s="33">
        <f t="shared" si="245"/>
        <v>0</v>
      </c>
      <c r="BE232" s="33">
        <v>0</v>
      </c>
      <c r="BF232" s="33">
        <f t="shared" si="246"/>
        <v>27.531585</v>
      </c>
      <c r="BH232" s="18">
        <f t="shared" si="247"/>
        <v>0</v>
      </c>
      <c r="BI232" s="18">
        <f t="shared" si="248"/>
        <v>0</v>
      </c>
      <c r="BJ232" s="18">
        <f t="shared" si="249"/>
        <v>0</v>
      </c>
    </row>
    <row r="233" spans="1:62" ht="12.75">
      <c r="A233" s="86" t="s">
        <v>184</v>
      </c>
      <c r="B233" s="86" t="s">
        <v>200</v>
      </c>
      <c r="C233" s="86" t="s">
        <v>330</v>
      </c>
      <c r="D233" s="86" t="s">
        <v>506</v>
      </c>
      <c r="E233" s="86" t="s">
        <v>528</v>
      </c>
      <c r="F233" s="87">
        <v>43.5</v>
      </c>
      <c r="G233" s="87"/>
      <c r="H233" s="87">
        <f t="shared" si="226"/>
        <v>0</v>
      </c>
      <c r="I233" s="87">
        <f t="shared" si="227"/>
        <v>0</v>
      </c>
      <c r="J233" s="87">
        <f t="shared" si="228"/>
        <v>0</v>
      </c>
      <c r="K233" s="88">
        <f>IF(J250=0,0,J233/J250)</f>
        <v>0</v>
      </c>
      <c r="L233" s="87">
        <v>0.11453</v>
      </c>
      <c r="M233" s="87">
        <f t="shared" si="229"/>
        <v>4.982055</v>
      </c>
      <c r="N233" s="89" t="s">
        <v>559</v>
      </c>
      <c r="Z233" s="33">
        <f t="shared" si="230"/>
        <v>0</v>
      </c>
      <c r="AB233" s="33">
        <f t="shared" si="231"/>
        <v>0</v>
      </c>
      <c r="AC233" s="33">
        <f t="shared" si="232"/>
        <v>0</v>
      </c>
      <c r="AD233" s="33">
        <f t="shared" si="233"/>
        <v>0</v>
      </c>
      <c r="AE233" s="33">
        <f t="shared" si="234"/>
        <v>0</v>
      </c>
      <c r="AF233" s="33">
        <f t="shared" si="235"/>
        <v>0</v>
      </c>
      <c r="AG233" s="33">
        <f t="shared" si="236"/>
        <v>0</v>
      </c>
      <c r="AH233" s="33">
        <f t="shared" si="237"/>
        <v>0</v>
      </c>
      <c r="AI233" s="25" t="s">
        <v>200</v>
      </c>
      <c r="AJ233" s="18">
        <f t="shared" si="238"/>
        <v>0</v>
      </c>
      <c r="AK233" s="18">
        <f t="shared" si="239"/>
        <v>0</v>
      </c>
      <c r="AL233" s="18">
        <f t="shared" si="240"/>
        <v>0</v>
      </c>
      <c r="AN233" s="33">
        <v>21</v>
      </c>
      <c r="AO233" s="33">
        <f>G233*0.139782308504589</f>
        <v>0</v>
      </c>
      <c r="AP233" s="33">
        <f>G233*(1-0.139782308504589)</f>
        <v>0</v>
      </c>
      <c r="AQ233" s="30" t="s">
        <v>6</v>
      </c>
      <c r="AV233" s="33">
        <f t="shared" si="241"/>
        <v>0</v>
      </c>
      <c r="AW233" s="33">
        <f t="shared" si="242"/>
        <v>0</v>
      </c>
      <c r="AX233" s="33">
        <f t="shared" si="243"/>
        <v>0</v>
      </c>
      <c r="AY233" s="34" t="s">
        <v>582</v>
      </c>
      <c r="AZ233" s="34" t="s">
        <v>598</v>
      </c>
      <c r="BA233" s="25" t="s">
        <v>603</v>
      </c>
      <c r="BC233" s="33">
        <f t="shared" si="244"/>
        <v>0</v>
      </c>
      <c r="BD233" s="33">
        <f t="shared" si="245"/>
        <v>0</v>
      </c>
      <c r="BE233" s="33">
        <v>0</v>
      </c>
      <c r="BF233" s="33">
        <f t="shared" si="246"/>
        <v>4.982055</v>
      </c>
      <c r="BH233" s="18">
        <f t="shared" si="247"/>
        <v>0</v>
      </c>
      <c r="BI233" s="18">
        <f t="shared" si="248"/>
        <v>0</v>
      </c>
      <c r="BJ233" s="18">
        <f t="shared" si="249"/>
        <v>0</v>
      </c>
    </row>
    <row r="234" spans="1:62" ht="12.75">
      <c r="A234" s="82" t="s">
        <v>185</v>
      </c>
      <c r="B234" s="82" t="s">
        <v>200</v>
      </c>
      <c r="C234" s="82" t="s">
        <v>331</v>
      </c>
      <c r="D234" s="82" t="s">
        <v>507</v>
      </c>
      <c r="E234" s="82" t="s">
        <v>534</v>
      </c>
      <c r="F234" s="83">
        <v>348</v>
      </c>
      <c r="G234" s="83"/>
      <c r="H234" s="83">
        <f t="shared" si="226"/>
        <v>0</v>
      </c>
      <c r="I234" s="83">
        <f t="shared" si="227"/>
        <v>0</v>
      </c>
      <c r="J234" s="83">
        <f t="shared" si="228"/>
        <v>0</v>
      </c>
      <c r="K234" s="84">
        <f>IF(J250=0,0,J234/J250)</f>
        <v>0</v>
      </c>
      <c r="L234" s="83">
        <v>0.023</v>
      </c>
      <c r="M234" s="83">
        <f t="shared" si="229"/>
        <v>8.004</v>
      </c>
      <c r="N234" s="85" t="s">
        <v>559</v>
      </c>
      <c r="Z234" s="33">
        <f t="shared" si="230"/>
        <v>0</v>
      </c>
      <c r="AB234" s="33">
        <f t="shared" si="231"/>
        <v>0</v>
      </c>
      <c r="AC234" s="33">
        <f t="shared" si="232"/>
        <v>0</v>
      </c>
      <c r="AD234" s="33">
        <f t="shared" si="233"/>
        <v>0</v>
      </c>
      <c r="AE234" s="33">
        <f t="shared" si="234"/>
        <v>0</v>
      </c>
      <c r="AF234" s="33">
        <f t="shared" si="235"/>
        <v>0</v>
      </c>
      <c r="AG234" s="33">
        <f t="shared" si="236"/>
        <v>0</v>
      </c>
      <c r="AH234" s="33">
        <f t="shared" si="237"/>
        <v>0</v>
      </c>
      <c r="AI234" s="25" t="s">
        <v>200</v>
      </c>
      <c r="AJ234" s="17">
        <f t="shared" si="238"/>
        <v>0</v>
      </c>
      <c r="AK234" s="17">
        <f t="shared" si="239"/>
        <v>0</v>
      </c>
      <c r="AL234" s="17">
        <f t="shared" si="240"/>
        <v>0</v>
      </c>
      <c r="AN234" s="33">
        <v>21</v>
      </c>
      <c r="AO234" s="33">
        <f>G234*1</f>
        <v>0</v>
      </c>
      <c r="AP234" s="33">
        <f>G234*(1-1)</f>
        <v>0</v>
      </c>
      <c r="AQ234" s="29" t="s">
        <v>6</v>
      </c>
      <c r="AV234" s="33">
        <f t="shared" si="241"/>
        <v>0</v>
      </c>
      <c r="AW234" s="33">
        <f t="shared" si="242"/>
        <v>0</v>
      </c>
      <c r="AX234" s="33">
        <f t="shared" si="243"/>
        <v>0</v>
      </c>
      <c r="AY234" s="34" t="s">
        <v>582</v>
      </c>
      <c r="AZ234" s="34" t="s">
        <v>598</v>
      </c>
      <c r="BA234" s="25" t="s">
        <v>603</v>
      </c>
      <c r="BC234" s="33">
        <f t="shared" si="244"/>
        <v>0</v>
      </c>
      <c r="BD234" s="33">
        <f t="shared" si="245"/>
        <v>0</v>
      </c>
      <c r="BE234" s="33">
        <v>0</v>
      </c>
      <c r="BF234" s="33">
        <f t="shared" si="246"/>
        <v>8.004</v>
      </c>
      <c r="BH234" s="17">
        <f t="shared" si="247"/>
        <v>0</v>
      </c>
      <c r="BI234" s="17">
        <f t="shared" si="248"/>
        <v>0</v>
      </c>
      <c r="BJ234" s="17">
        <f t="shared" si="249"/>
        <v>0</v>
      </c>
    </row>
    <row r="235" spans="1:47" ht="12.75">
      <c r="A235" s="90"/>
      <c r="B235" s="91" t="s">
        <v>200</v>
      </c>
      <c r="C235" s="91" t="s">
        <v>64</v>
      </c>
      <c r="D235" s="91" t="s">
        <v>508</v>
      </c>
      <c r="E235" s="90" t="s">
        <v>5</v>
      </c>
      <c r="F235" s="90" t="s">
        <v>5</v>
      </c>
      <c r="G235" s="90"/>
      <c r="H235" s="92">
        <f>SUM(H236:H241)</f>
        <v>0</v>
      </c>
      <c r="I235" s="92">
        <f>SUM(I236:I241)</f>
        <v>0</v>
      </c>
      <c r="J235" s="92">
        <f>SUM(J236:J241)</f>
        <v>0</v>
      </c>
      <c r="K235" s="93">
        <f>IF(J250=0,0,J235/J250)</f>
        <v>0</v>
      </c>
      <c r="L235" s="94"/>
      <c r="M235" s="92">
        <f>SUM(M236:M241)</f>
        <v>1245.2269000000001</v>
      </c>
      <c r="N235" s="94"/>
      <c r="AI235" s="25" t="s">
        <v>200</v>
      </c>
      <c r="AS235" s="36">
        <f>SUM(AJ236:AJ241)</f>
        <v>0</v>
      </c>
      <c r="AT235" s="36">
        <f>SUM(AK236:AK241)</f>
        <v>0</v>
      </c>
      <c r="AU235" s="36">
        <f>SUM(AL236:AL241)</f>
        <v>0</v>
      </c>
    </row>
    <row r="236" spans="1:62" ht="12.75">
      <c r="A236" s="86" t="s">
        <v>186</v>
      </c>
      <c r="B236" s="86" t="s">
        <v>200</v>
      </c>
      <c r="C236" s="86" t="s">
        <v>332</v>
      </c>
      <c r="D236" s="86" t="s">
        <v>509</v>
      </c>
      <c r="E236" s="86" t="s">
        <v>528</v>
      </c>
      <c r="F236" s="87">
        <v>1100</v>
      </c>
      <c r="G236" s="87"/>
      <c r="H236" s="87">
        <f>F236*AO236</f>
        <v>0</v>
      </c>
      <c r="I236" s="87">
        <f>F236*AP236</f>
        <v>0</v>
      </c>
      <c r="J236" s="87">
        <f>F236*G236</f>
        <v>0</v>
      </c>
      <c r="K236" s="88">
        <f>IF(J250=0,0,J236/J250)</f>
        <v>0</v>
      </c>
      <c r="L236" s="87">
        <v>0.54362</v>
      </c>
      <c r="M236" s="87">
        <f>F236*L236</f>
        <v>597.982</v>
      </c>
      <c r="N236" s="89" t="s">
        <v>559</v>
      </c>
      <c r="Z236" s="33">
        <f>IF(AQ236="5",BJ236,0)</f>
        <v>0</v>
      </c>
      <c r="AB236" s="33">
        <f>IF(AQ236="1",BH236,0)</f>
        <v>0</v>
      </c>
      <c r="AC236" s="33">
        <f>IF(AQ236="1",BI236,0)</f>
        <v>0</v>
      </c>
      <c r="AD236" s="33">
        <f>IF(AQ236="7",BH236,0)</f>
        <v>0</v>
      </c>
      <c r="AE236" s="33">
        <f>IF(AQ236="7",BI236,0)</f>
        <v>0</v>
      </c>
      <c r="AF236" s="33">
        <f>IF(AQ236="2",BH236,0)</f>
        <v>0</v>
      </c>
      <c r="AG236" s="33">
        <f>IF(AQ236="2",BI236,0)</f>
        <v>0</v>
      </c>
      <c r="AH236" s="33">
        <f>IF(AQ236="0",BJ236,0)</f>
        <v>0</v>
      </c>
      <c r="AI236" s="25" t="s">
        <v>200</v>
      </c>
      <c r="AJ236" s="18">
        <f>IF(AN236=0,J236,0)</f>
        <v>0</v>
      </c>
      <c r="AK236" s="18">
        <f>IF(AN236=15,J236,0)</f>
        <v>0</v>
      </c>
      <c r="AL236" s="18">
        <f>IF(AN236=21,J236,0)</f>
        <v>0</v>
      </c>
      <c r="AN236" s="33">
        <v>21</v>
      </c>
      <c r="AO236" s="33">
        <f>G236*0.521534892433609</f>
        <v>0</v>
      </c>
      <c r="AP236" s="33">
        <f>G236*(1-0.521534892433609)</f>
        <v>0</v>
      </c>
      <c r="AQ236" s="30" t="s">
        <v>6</v>
      </c>
      <c r="AV236" s="33">
        <f>AW236+AX236</f>
        <v>0</v>
      </c>
      <c r="AW236" s="33">
        <f>F236*AO236</f>
        <v>0</v>
      </c>
      <c r="AX236" s="33">
        <f>F236*AP236</f>
        <v>0</v>
      </c>
      <c r="AY236" s="34" t="s">
        <v>583</v>
      </c>
      <c r="AZ236" s="34" t="s">
        <v>598</v>
      </c>
      <c r="BA236" s="25" t="s">
        <v>603</v>
      </c>
      <c r="BC236" s="33">
        <f>AW236+AX236</f>
        <v>0</v>
      </c>
      <c r="BD236" s="33">
        <f>G236/(100-BE236)*100</f>
        <v>0</v>
      </c>
      <c r="BE236" s="33">
        <v>0</v>
      </c>
      <c r="BF236" s="33">
        <f>M236</f>
        <v>597.982</v>
      </c>
      <c r="BH236" s="18">
        <f>F236*AO236</f>
        <v>0</v>
      </c>
      <c r="BI236" s="18">
        <f>F236*AP236</f>
        <v>0</v>
      </c>
      <c r="BJ236" s="18">
        <f>F236*G236</f>
        <v>0</v>
      </c>
    </row>
    <row r="237" spans="1:14" ht="12.75">
      <c r="A237" s="95"/>
      <c r="B237" s="95"/>
      <c r="C237" s="95"/>
      <c r="D237" s="96" t="s">
        <v>510</v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1:62" ht="12.75">
      <c r="A238" s="86" t="s">
        <v>187</v>
      </c>
      <c r="B238" s="86" t="s">
        <v>200</v>
      </c>
      <c r="C238" s="86" t="s">
        <v>333</v>
      </c>
      <c r="D238" s="86" t="s">
        <v>511</v>
      </c>
      <c r="E238" s="86" t="s">
        <v>528</v>
      </c>
      <c r="F238" s="87">
        <v>1100</v>
      </c>
      <c r="G238" s="87"/>
      <c r="H238" s="87">
        <f>F238*AO238</f>
        <v>0</v>
      </c>
      <c r="I238" s="87">
        <f>F238*AP238</f>
        <v>0</v>
      </c>
      <c r="J238" s="87">
        <f>F238*G238</f>
        <v>0</v>
      </c>
      <c r="K238" s="88">
        <f>IF(J250=0,0,J238/J250)</f>
        <v>0</v>
      </c>
      <c r="L238" s="87">
        <v>0.4536</v>
      </c>
      <c r="M238" s="87">
        <f>F238*L238</f>
        <v>498.96</v>
      </c>
      <c r="N238" s="89" t="s">
        <v>559</v>
      </c>
      <c r="Z238" s="33">
        <f>IF(AQ238="5",BJ238,0)</f>
        <v>0</v>
      </c>
      <c r="AB238" s="33">
        <f>IF(AQ238="1",BH238,0)</f>
        <v>0</v>
      </c>
      <c r="AC238" s="33">
        <f>IF(AQ238="1",BI238,0)</f>
        <v>0</v>
      </c>
      <c r="AD238" s="33">
        <f>IF(AQ238="7",BH238,0)</f>
        <v>0</v>
      </c>
      <c r="AE238" s="33">
        <f>IF(AQ238="7",BI238,0)</f>
        <v>0</v>
      </c>
      <c r="AF238" s="33">
        <f>IF(AQ238="2",BH238,0)</f>
        <v>0</v>
      </c>
      <c r="AG238" s="33">
        <f>IF(AQ238="2",BI238,0)</f>
        <v>0</v>
      </c>
      <c r="AH238" s="33">
        <f>IF(AQ238="0",BJ238,0)</f>
        <v>0</v>
      </c>
      <c r="AI238" s="25" t="s">
        <v>200</v>
      </c>
      <c r="AJ238" s="18">
        <f>IF(AN238=0,J238,0)</f>
        <v>0</v>
      </c>
      <c r="AK238" s="18">
        <f>IF(AN238=15,J238,0)</f>
        <v>0</v>
      </c>
      <c r="AL238" s="18">
        <f>IF(AN238=21,J238,0)</f>
        <v>0</v>
      </c>
      <c r="AN238" s="33">
        <v>21</v>
      </c>
      <c r="AO238" s="33">
        <f>G238*0.876940639269406</f>
        <v>0</v>
      </c>
      <c r="AP238" s="33">
        <f>G238*(1-0.876940639269406)</f>
        <v>0</v>
      </c>
      <c r="AQ238" s="30" t="s">
        <v>6</v>
      </c>
      <c r="AV238" s="33">
        <f>AW238+AX238</f>
        <v>0</v>
      </c>
      <c r="AW238" s="33">
        <f>F238*AO238</f>
        <v>0</v>
      </c>
      <c r="AX238" s="33">
        <f>F238*AP238</f>
        <v>0</v>
      </c>
      <c r="AY238" s="34" t="s">
        <v>583</v>
      </c>
      <c r="AZ238" s="34" t="s">
        <v>598</v>
      </c>
      <c r="BA238" s="25" t="s">
        <v>603</v>
      </c>
      <c r="BC238" s="33">
        <f>AW238+AX238</f>
        <v>0</v>
      </c>
      <c r="BD238" s="33">
        <f>G238/(100-BE238)*100</f>
        <v>0</v>
      </c>
      <c r="BE238" s="33">
        <v>0</v>
      </c>
      <c r="BF238" s="33">
        <f>M238</f>
        <v>498.96</v>
      </c>
      <c r="BH238" s="18">
        <f>F238*AO238</f>
        <v>0</v>
      </c>
      <c r="BI238" s="18">
        <f>F238*AP238</f>
        <v>0</v>
      </c>
      <c r="BJ238" s="18">
        <f>F238*G238</f>
        <v>0</v>
      </c>
    </row>
    <row r="239" spans="1:14" ht="12.75">
      <c r="A239" s="95"/>
      <c r="B239" s="95"/>
      <c r="C239" s="95"/>
      <c r="D239" s="96" t="s">
        <v>500</v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1:62" ht="12.75">
      <c r="A240" s="86" t="s">
        <v>188</v>
      </c>
      <c r="B240" s="86" t="s">
        <v>200</v>
      </c>
      <c r="C240" s="86" t="s">
        <v>334</v>
      </c>
      <c r="D240" s="86" t="s">
        <v>512</v>
      </c>
      <c r="E240" s="86" t="s">
        <v>526</v>
      </c>
      <c r="F240" s="87">
        <v>549</v>
      </c>
      <c r="G240" s="87"/>
      <c r="H240" s="87">
        <f>F240*AO240</f>
        <v>0</v>
      </c>
      <c r="I240" s="87">
        <f>F240*AP240</f>
        <v>0</v>
      </c>
      <c r="J240" s="87">
        <f>F240*G240</f>
        <v>0</v>
      </c>
      <c r="K240" s="88">
        <f>IF(J250=0,0,J240/J250)</f>
        <v>0</v>
      </c>
      <c r="L240" s="87">
        <v>0.188</v>
      </c>
      <c r="M240" s="87">
        <f>F240*L240</f>
        <v>103.212</v>
      </c>
      <c r="N240" s="89" t="s">
        <v>559</v>
      </c>
      <c r="Z240" s="33">
        <f>IF(AQ240="5",BJ240,0)</f>
        <v>0</v>
      </c>
      <c r="AB240" s="33">
        <f>IF(AQ240="1",BH240,0)</f>
        <v>0</v>
      </c>
      <c r="AC240" s="33">
        <f>IF(AQ240="1",BI240,0)</f>
        <v>0</v>
      </c>
      <c r="AD240" s="33">
        <f>IF(AQ240="7",BH240,0)</f>
        <v>0</v>
      </c>
      <c r="AE240" s="33">
        <f>IF(AQ240="7",BI240,0)</f>
        <v>0</v>
      </c>
      <c r="AF240" s="33">
        <f>IF(AQ240="2",BH240,0)</f>
        <v>0</v>
      </c>
      <c r="AG240" s="33">
        <f>IF(AQ240="2",BI240,0)</f>
        <v>0</v>
      </c>
      <c r="AH240" s="33">
        <f>IF(AQ240="0",BJ240,0)</f>
        <v>0</v>
      </c>
      <c r="AI240" s="25" t="s">
        <v>200</v>
      </c>
      <c r="AJ240" s="18">
        <f>IF(AN240=0,J240,0)</f>
        <v>0</v>
      </c>
      <c r="AK240" s="18">
        <f>IF(AN240=15,J240,0)</f>
        <v>0</v>
      </c>
      <c r="AL240" s="18">
        <f>IF(AN240=21,J240,0)</f>
        <v>0</v>
      </c>
      <c r="AN240" s="33">
        <v>21</v>
      </c>
      <c r="AO240" s="33">
        <f>G240*0.560355955841143</f>
        <v>0</v>
      </c>
      <c r="AP240" s="33">
        <f>G240*(1-0.560355955841143)</f>
        <v>0</v>
      </c>
      <c r="AQ240" s="30" t="s">
        <v>6</v>
      </c>
      <c r="AV240" s="33">
        <f>AW240+AX240</f>
        <v>0</v>
      </c>
      <c r="AW240" s="33">
        <f>F240*AO240</f>
        <v>0</v>
      </c>
      <c r="AX240" s="33">
        <f>F240*AP240</f>
        <v>0</v>
      </c>
      <c r="AY240" s="34" t="s">
        <v>583</v>
      </c>
      <c r="AZ240" s="34" t="s">
        <v>598</v>
      </c>
      <c r="BA240" s="25" t="s">
        <v>603</v>
      </c>
      <c r="BC240" s="33">
        <f>AW240+AX240</f>
        <v>0</v>
      </c>
      <c r="BD240" s="33">
        <f>G240/(100-BE240)*100</f>
        <v>0</v>
      </c>
      <c r="BE240" s="33">
        <v>0</v>
      </c>
      <c r="BF240" s="33">
        <f>M240</f>
        <v>103.212</v>
      </c>
      <c r="BH240" s="18">
        <f>F240*AO240</f>
        <v>0</v>
      </c>
      <c r="BI240" s="18">
        <f>F240*AP240</f>
        <v>0</v>
      </c>
      <c r="BJ240" s="18">
        <f>F240*G240</f>
        <v>0</v>
      </c>
    </row>
    <row r="241" spans="1:62" ht="12.75">
      <c r="A241" s="82" t="s">
        <v>189</v>
      </c>
      <c r="B241" s="82" t="s">
        <v>200</v>
      </c>
      <c r="C241" s="82" t="s">
        <v>335</v>
      </c>
      <c r="D241" s="82" t="s">
        <v>513</v>
      </c>
      <c r="E241" s="82" t="s">
        <v>534</v>
      </c>
      <c r="F241" s="83">
        <v>549</v>
      </c>
      <c r="G241" s="83"/>
      <c r="H241" s="83">
        <f>F241*AO241</f>
        <v>0</v>
      </c>
      <c r="I241" s="83">
        <f>F241*AP241</f>
        <v>0</v>
      </c>
      <c r="J241" s="83">
        <f>F241*G241</f>
        <v>0</v>
      </c>
      <c r="K241" s="84">
        <f>IF(J250=0,0,J241/J250)</f>
        <v>0</v>
      </c>
      <c r="L241" s="83">
        <v>0.0821</v>
      </c>
      <c r="M241" s="83">
        <f>F241*L241</f>
        <v>45.072900000000004</v>
      </c>
      <c r="N241" s="85" t="s">
        <v>559</v>
      </c>
      <c r="Z241" s="33">
        <f>IF(AQ241="5",BJ241,0)</f>
        <v>0</v>
      </c>
      <c r="AB241" s="33">
        <f>IF(AQ241="1",BH241,0)</f>
        <v>0</v>
      </c>
      <c r="AC241" s="33">
        <f>IF(AQ241="1",BI241,0)</f>
        <v>0</v>
      </c>
      <c r="AD241" s="33">
        <f>IF(AQ241="7",BH241,0)</f>
        <v>0</v>
      </c>
      <c r="AE241" s="33">
        <f>IF(AQ241="7",BI241,0)</f>
        <v>0</v>
      </c>
      <c r="AF241" s="33">
        <f>IF(AQ241="2",BH241,0)</f>
        <v>0</v>
      </c>
      <c r="AG241" s="33">
        <f>IF(AQ241="2",BI241,0)</f>
        <v>0</v>
      </c>
      <c r="AH241" s="33">
        <f>IF(AQ241="0",BJ241,0)</f>
        <v>0</v>
      </c>
      <c r="AI241" s="25" t="s">
        <v>200</v>
      </c>
      <c r="AJ241" s="17">
        <f>IF(AN241=0,J241,0)</f>
        <v>0</v>
      </c>
      <c r="AK241" s="17">
        <f>IF(AN241=15,J241,0)</f>
        <v>0</v>
      </c>
      <c r="AL241" s="17">
        <f>IF(AN241=21,J241,0)</f>
        <v>0</v>
      </c>
      <c r="AN241" s="33">
        <v>21</v>
      </c>
      <c r="AO241" s="33">
        <f>G241*1</f>
        <v>0</v>
      </c>
      <c r="AP241" s="33">
        <f>G241*(1-1)</f>
        <v>0</v>
      </c>
      <c r="AQ241" s="29" t="s">
        <v>6</v>
      </c>
      <c r="AV241" s="33">
        <f>AW241+AX241</f>
        <v>0</v>
      </c>
      <c r="AW241" s="33">
        <f>F241*AO241</f>
        <v>0</v>
      </c>
      <c r="AX241" s="33">
        <f>F241*AP241</f>
        <v>0</v>
      </c>
      <c r="AY241" s="34" t="s">
        <v>583</v>
      </c>
      <c r="AZ241" s="34" t="s">
        <v>598</v>
      </c>
      <c r="BA241" s="25" t="s">
        <v>603</v>
      </c>
      <c r="BC241" s="33">
        <f>AW241+AX241</f>
        <v>0</v>
      </c>
      <c r="BD241" s="33">
        <f>G241/(100-BE241)*100</f>
        <v>0</v>
      </c>
      <c r="BE241" s="33">
        <v>0</v>
      </c>
      <c r="BF241" s="33">
        <f>M241</f>
        <v>45.072900000000004</v>
      </c>
      <c r="BH241" s="17">
        <f>F241*AO241</f>
        <v>0</v>
      </c>
      <c r="BI241" s="17">
        <f>F241*AP241</f>
        <v>0</v>
      </c>
      <c r="BJ241" s="17">
        <f>F241*G241</f>
        <v>0</v>
      </c>
    </row>
    <row r="242" spans="1:47" ht="12.75">
      <c r="A242" s="90"/>
      <c r="B242" s="91" t="s">
        <v>200</v>
      </c>
      <c r="C242" s="91" t="s">
        <v>336</v>
      </c>
      <c r="D242" s="91" t="s">
        <v>514</v>
      </c>
      <c r="E242" s="90" t="s">
        <v>5</v>
      </c>
      <c r="F242" s="90" t="s">
        <v>5</v>
      </c>
      <c r="G242" s="90"/>
      <c r="H242" s="92">
        <f>SUM(H243:H243)</f>
        <v>0</v>
      </c>
      <c r="I242" s="92">
        <f>SUM(I243:I243)</f>
        <v>0</v>
      </c>
      <c r="J242" s="92">
        <f>SUM(J243:J243)</f>
        <v>0</v>
      </c>
      <c r="K242" s="93">
        <f>IF(J250=0,0,J242/J250)</f>
        <v>0</v>
      </c>
      <c r="L242" s="94"/>
      <c r="M242" s="92">
        <f>SUM(M243:M243)</f>
        <v>0</v>
      </c>
      <c r="N242" s="94"/>
      <c r="AI242" s="25" t="s">
        <v>200</v>
      </c>
      <c r="AS242" s="36">
        <f>SUM(AJ243:AJ243)</f>
        <v>0</v>
      </c>
      <c r="AT242" s="36">
        <f>SUM(AK243:AK243)</f>
        <v>0</v>
      </c>
      <c r="AU242" s="36">
        <f>SUM(AL243:AL243)</f>
        <v>0</v>
      </c>
    </row>
    <row r="243" spans="1:62" ht="12.75">
      <c r="A243" s="86" t="s">
        <v>190</v>
      </c>
      <c r="B243" s="86" t="s">
        <v>200</v>
      </c>
      <c r="C243" s="86" t="s">
        <v>337</v>
      </c>
      <c r="D243" s="86" t="s">
        <v>515</v>
      </c>
      <c r="E243" s="86" t="s">
        <v>529</v>
      </c>
      <c r="F243" s="87">
        <v>3871.9841</v>
      </c>
      <c r="G243" s="87"/>
      <c r="H243" s="87">
        <f>F243*AO243</f>
        <v>0</v>
      </c>
      <c r="I243" s="87">
        <f>F243*AP243</f>
        <v>0</v>
      </c>
      <c r="J243" s="87">
        <f>F243*G243</f>
        <v>0</v>
      </c>
      <c r="K243" s="88">
        <f>IF(J250=0,0,J243/J250)</f>
        <v>0</v>
      </c>
      <c r="L243" s="87">
        <v>0</v>
      </c>
      <c r="M243" s="87">
        <f>F243*L243</f>
        <v>0</v>
      </c>
      <c r="N243" s="89" t="s">
        <v>559</v>
      </c>
      <c r="Z243" s="33">
        <f>IF(AQ243="5",BJ243,0)</f>
        <v>0</v>
      </c>
      <c r="AB243" s="33">
        <f>IF(AQ243="1",BH243,0)</f>
        <v>0</v>
      </c>
      <c r="AC243" s="33">
        <f>IF(AQ243="1",BI243,0)</f>
        <v>0</v>
      </c>
      <c r="AD243" s="33">
        <f>IF(AQ243="7",BH243,0)</f>
        <v>0</v>
      </c>
      <c r="AE243" s="33">
        <f>IF(AQ243="7",BI243,0)</f>
        <v>0</v>
      </c>
      <c r="AF243" s="33">
        <f>IF(AQ243="2",BH243,0)</f>
        <v>0</v>
      </c>
      <c r="AG243" s="33">
        <f>IF(AQ243="2",BI243,0)</f>
        <v>0</v>
      </c>
      <c r="AH243" s="33">
        <f>IF(AQ243="0",BJ243,0)</f>
        <v>0</v>
      </c>
      <c r="AI243" s="25" t="s">
        <v>200</v>
      </c>
      <c r="AJ243" s="18">
        <f>IF(AN243=0,J243,0)</f>
        <v>0</v>
      </c>
      <c r="AK243" s="18">
        <f>IF(AN243=15,J243,0)</f>
        <v>0</v>
      </c>
      <c r="AL243" s="18">
        <f>IF(AN243=21,J243,0)</f>
        <v>0</v>
      </c>
      <c r="AN243" s="33">
        <v>21</v>
      </c>
      <c r="AO243" s="33">
        <f>G243*0</f>
        <v>0</v>
      </c>
      <c r="AP243" s="33">
        <f>G243*(1-0)</f>
        <v>0</v>
      </c>
      <c r="AQ243" s="30" t="s">
        <v>10</v>
      </c>
      <c r="AV243" s="33">
        <f>AW243+AX243</f>
        <v>0</v>
      </c>
      <c r="AW243" s="33">
        <f>F243*AO243</f>
        <v>0</v>
      </c>
      <c r="AX243" s="33">
        <f>F243*AP243</f>
        <v>0</v>
      </c>
      <c r="AY243" s="34" t="s">
        <v>584</v>
      </c>
      <c r="AZ243" s="34" t="s">
        <v>599</v>
      </c>
      <c r="BA243" s="25" t="s">
        <v>603</v>
      </c>
      <c r="BC243" s="33">
        <f>AW243+AX243</f>
        <v>0</v>
      </c>
      <c r="BD243" s="33">
        <f>G243/(100-BE243)*100</f>
        <v>0</v>
      </c>
      <c r="BE243" s="33">
        <v>0</v>
      </c>
      <c r="BF243" s="33">
        <f>M243</f>
        <v>0</v>
      </c>
      <c r="BH243" s="18">
        <f>F243*AO243</f>
        <v>0</v>
      </c>
      <c r="BI243" s="18">
        <f>F243*AP243</f>
        <v>0</v>
      </c>
      <c r="BJ243" s="18">
        <f>F243*G243</f>
        <v>0</v>
      </c>
    </row>
    <row r="244" spans="1:47" ht="12.75">
      <c r="A244" s="90"/>
      <c r="B244" s="91" t="s">
        <v>200</v>
      </c>
      <c r="C244" s="91"/>
      <c r="D244" s="91" t="s">
        <v>440</v>
      </c>
      <c r="E244" s="90" t="s">
        <v>5</v>
      </c>
      <c r="F244" s="90" t="s">
        <v>5</v>
      </c>
      <c r="G244" s="90"/>
      <c r="H244" s="92">
        <f>SUM(H245:H249)</f>
        <v>0</v>
      </c>
      <c r="I244" s="92">
        <f>SUM(I245:I249)</f>
        <v>0</v>
      </c>
      <c r="J244" s="92">
        <f>SUM(J245:J249)</f>
        <v>0</v>
      </c>
      <c r="K244" s="93">
        <f>IF(J250=0,0,J244/J250)</f>
        <v>0</v>
      </c>
      <c r="L244" s="94"/>
      <c r="M244" s="92">
        <f>SUM(M245:M249)</f>
        <v>0</v>
      </c>
      <c r="N244" s="94"/>
      <c r="AI244" s="25" t="s">
        <v>200</v>
      </c>
      <c r="AS244" s="36">
        <f>SUM(AJ245:AJ249)</f>
        <v>0</v>
      </c>
      <c r="AT244" s="36">
        <f>SUM(AK245:AK249)</f>
        <v>0</v>
      </c>
      <c r="AU244" s="36">
        <f>SUM(AL245:AL249)</f>
        <v>0</v>
      </c>
    </row>
    <row r="245" spans="1:62" ht="12.75">
      <c r="A245" s="82" t="s">
        <v>191</v>
      </c>
      <c r="B245" s="82" t="s">
        <v>200</v>
      </c>
      <c r="C245" s="82" t="s">
        <v>284</v>
      </c>
      <c r="D245" s="82" t="s">
        <v>516</v>
      </c>
      <c r="E245" s="82" t="s">
        <v>535</v>
      </c>
      <c r="F245" s="83">
        <v>1</v>
      </c>
      <c r="G245" s="83"/>
      <c r="H245" s="83">
        <f>F245*AO245</f>
        <v>0</v>
      </c>
      <c r="I245" s="83">
        <f>F245*AP245</f>
        <v>0</v>
      </c>
      <c r="J245" s="83">
        <f>F245*G245</f>
        <v>0</v>
      </c>
      <c r="K245" s="84">
        <f>IF(J250=0,0,J245/J250)</f>
        <v>0</v>
      </c>
      <c r="L245" s="83">
        <v>0</v>
      </c>
      <c r="M245" s="83">
        <f>F245*L245</f>
        <v>0</v>
      </c>
      <c r="N245" s="85"/>
      <c r="Z245" s="33">
        <f>IF(AQ245="5",BJ245,0)</f>
        <v>0</v>
      </c>
      <c r="AB245" s="33">
        <f>IF(AQ245="1",BH245,0)</f>
        <v>0</v>
      </c>
      <c r="AC245" s="33">
        <f>IF(AQ245="1",BI245,0)</f>
        <v>0</v>
      </c>
      <c r="AD245" s="33">
        <f>IF(AQ245="7",BH245,0)</f>
        <v>0</v>
      </c>
      <c r="AE245" s="33">
        <f>IF(AQ245="7",BI245,0)</f>
        <v>0</v>
      </c>
      <c r="AF245" s="33">
        <f>IF(AQ245="2",BH245,0)</f>
        <v>0</v>
      </c>
      <c r="AG245" s="33">
        <f>IF(AQ245="2",BI245,0)</f>
        <v>0</v>
      </c>
      <c r="AH245" s="33">
        <f>IF(AQ245="0",BJ245,0)</f>
        <v>0</v>
      </c>
      <c r="AI245" s="25" t="s">
        <v>200</v>
      </c>
      <c r="AJ245" s="17">
        <f>IF(AN245=0,J245,0)</f>
        <v>0</v>
      </c>
      <c r="AK245" s="17">
        <f>IF(AN245=15,J245,0)</f>
        <v>0</v>
      </c>
      <c r="AL245" s="17">
        <f>IF(AN245=21,J245,0)</f>
        <v>0</v>
      </c>
      <c r="AN245" s="33">
        <v>21</v>
      </c>
      <c r="AO245" s="33">
        <f>G245*1</f>
        <v>0</v>
      </c>
      <c r="AP245" s="33">
        <f>G245*(1-1)</f>
        <v>0</v>
      </c>
      <c r="AQ245" s="29" t="s">
        <v>570</v>
      </c>
      <c r="AV245" s="33">
        <f>AW245+AX245</f>
        <v>0</v>
      </c>
      <c r="AW245" s="33">
        <f>F245*AO245</f>
        <v>0</v>
      </c>
      <c r="AX245" s="33">
        <f>F245*AP245</f>
        <v>0</v>
      </c>
      <c r="AY245" s="34" t="s">
        <v>577</v>
      </c>
      <c r="AZ245" s="34" t="s">
        <v>600</v>
      </c>
      <c r="BA245" s="25" t="s">
        <v>603</v>
      </c>
      <c r="BC245" s="33">
        <f>AW245+AX245</f>
        <v>0</v>
      </c>
      <c r="BD245" s="33">
        <f>G245/(100-BE245)*100</f>
        <v>0</v>
      </c>
      <c r="BE245" s="33">
        <v>0</v>
      </c>
      <c r="BF245" s="33">
        <f>M245</f>
        <v>0</v>
      </c>
      <c r="BH245" s="17">
        <f>F245*AO245</f>
        <v>0</v>
      </c>
      <c r="BI245" s="17">
        <f>F245*AP245</f>
        <v>0</v>
      </c>
      <c r="BJ245" s="17">
        <f>F245*G245</f>
        <v>0</v>
      </c>
    </row>
    <row r="246" spans="1:62" ht="12.75">
      <c r="A246" s="82" t="s">
        <v>192</v>
      </c>
      <c r="B246" s="82" t="s">
        <v>200</v>
      </c>
      <c r="C246" s="82" t="s">
        <v>338</v>
      </c>
      <c r="D246" s="82" t="s">
        <v>517</v>
      </c>
      <c r="E246" s="82" t="s">
        <v>533</v>
      </c>
      <c r="F246" s="83">
        <v>6</v>
      </c>
      <c r="G246" s="83"/>
      <c r="H246" s="83">
        <f>F246*AO246</f>
        <v>0</v>
      </c>
      <c r="I246" s="83">
        <f>F246*AP246</f>
        <v>0</v>
      </c>
      <c r="J246" s="83">
        <f>F246*G246</f>
        <v>0</v>
      </c>
      <c r="K246" s="84">
        <f>IF(J250=0,0,J246/J250)</f>
        <v>0</v>
      </c>
      <c r="L246" s="83">
        <v>0</v>
      </c>
      <c r="M246" s="83">
        <f>F246*L246</f>
        <v>0</v>
      </c>
      <c r="N246" s="85"/>
      <c r="Z246" s="33">
        <f>IF(AQ246="5",BJ246,0)</f>
        <v>0</v>
      </c>
      <c r="AB246" s="33">
        <f>IF(AQ246="1",BH246,0)</f>
        <v>0</v>
      </c>
      <c r="AC246" s="33">
        <f>IF(AQ246="1",BI246,0)</f>
        <v>0</v>
      </c>
      <c r="AD246" s="33">
        <f>IF(AQ246="7",BH246,0)</f>
        <v>0</v>
      </c>
      <c r="AE246" s="33">
        <f>IF(AQ246="7",BI246,0)</f>
        <v>0</v>
      </c>
      <c r="AF246" s="33">
        <f>IF(AQ246="2",BH246,0)</f>
        <v>0</v>
      </c>
      <c r="AG246" s="33">
        <f>IF(AQ246="2",BI246,0)</f>
        <v>0</v>
      </c>
      <c r="AH246" s="33">
        <f>IF(AQ246="0",BJ246,0)</f>
        <v>0</v>
      </c>
      <c r="AI246" s="25" t="s">
        <v>200</v>
      </c>
      <c r="AJ246" s="17">
        <f>IF(AN246=0,J246,0)</f>
        <v>0</v>
      </c>
      <c r="AK246" s="17">
        <f>IF(AN246=15,J246,0)</f>
        <v>0</v>
      </c>
      <c r="AL246" s="17">
        <f>IF(AN246=21,J246,0)</f>
        <v>0</v>
      </c>
      <c r="AN246" s="33">
        <v>21</v>
      </c>
      <c r="AO246" s="33">
        <f>G246*1</f>
        <v>0</v>
      </c>
      <c r="AP246" s="33">
        <f>G246*(1-1)</f>
        <v>0</v>
      </c>
      <c r="AQ246" s="29" t="s">
        <v>570</v>
      </c>
      <c r="AV246" s="33">
        <f>AW246+AX246</f>
        <v>0</v>
      </c>
      <c r="AW246" s="33">
        <f>F246*AO246</f>
        <v>0</v>
      </c>
      <c r="AX246" s="33">
        <f>F246*AP246</f>
        <v>0</v>
      </c>
      <c r="AY246" s="34" t="s">
        <v>577</v>
      </c>
      <c r="AZ246" s="34" t="s">
        <v>600</v>
      </c>
      <c r="BA246" s="25" t="s">
        <v>603</v>
      </c>
      <c r="BC246" s="33">
        <f>AW246+AX246</f>
        <v>0</v>
      </c>
      <c r="BD246" s="33">
        <f>G246/(100-BE246)*100</f>
        <v>0</v>
      </c>
      <c r="BE246" s="33">
        <v>0</v>
      </c>
      <c r="BF246" s="33">
        <f>M246</f>
        <v>0</v>
      </c>
      <c r="BH246" s="17">
        <f>F246*AO246</f>
        <v>0</v>
      </c>
      <c r="BI246" s="17">
        <f>F246*AP246</f>
        <v>0</v>
      </c>
      <c r="BJ246" s="17">
        <f>F246*G246</f>
        <v>0</v>
      </c>
    </row>
    <row r="247" spans="1:62" ht="12.75">
      <c r="A247" s="82" t="s">
        <v>193</v>
      </c>
      <c r="B247" s="82" t="s">
        <v>200</v>
      </c>
      <c r="C247" s="82" t="s">
        <v>339</v>
      </c>
      <c r="D247" s="82" t="s">
        <v>518</v>
      </c>
      <c r="E247" s="82" t="s">
        <v>535</v>
      </c>
      <c r="F247" s="83">
        <v>1</v>
      </c>
      <c r="G247" s="83"/>
      <c r="H247" s="83">
        <f>F247*AO247</f>
        <v>0</v>
      </c>
      <c r="I247" s="83">
        <f>F247*AP247</f>
        <v>0</v>
      </c>
      <c r="J247" s="83">
        <f>F247*G247</f>
        <v>0</v>
      </c>
      <c r="K247" s="84">
        <f>IF(J250=0,0,J247/J250)</f>
        <v>0</v>
      </c>
      <c r="L247" s="83">
        <v>0</v>
      </c>
      <c r="M247" s="83">
        <f>F247*L247</f>
        <v>0</v>
      </c>
      <c r="N247" s="85"/>
      <c r="Z247" s="33">
        <f>IF(AQ247="5",BJ247,0)</f>
        <v>0</v>
      </c>
      <c r="AB247" s="33">
        <f>IF(AQ247="1",BH247,0)</f>
        <v>0</v>
      </c>
      <c r="AC247" s="33">
        <f>IF(AQ247="1",BI247,0)</f>
        <v>0</v>
      </c>
      <c r="AD247" s="33">
        <f>IF(AQ247="7",BH247,0)</f>
        <v>0</v>
      </c>
      <c r="AE247" s="33">
        <f>IF(AQ247="7",BI247,0)</f>
        <v>0</v>
      </c>
      <c r="AF247" s="33">
        <f>IF(AQ247="2",BH247,0)</f>
        <v>0</v>
      </c>
      <c r="AG247" s="33">
        <f>IF(AQ247="2",BI247,0)</f>
        <v>0</v>
      </c>
      <c r="AH247" s="33">
        <f>IF(AQ247="0",BJ247,0)</f>
        <v>0</v>
      </c>
      <c r="AI247" s="25" t="s">
        <v>200</v>
      </c>
      <c r="AJ247" s="17">
        <f>IF(AN247=0,J247,0)</f>
        <v>0</v>
      </c>
      <c r="AK247" s="17">
        <f>IF(AN247=15,J247,0)</f>
        <v>0</v>
      </c>
      <c r="AL247" s="17">
        <f>IF(AN247=21,J247,0)</f>
        <v>0</v>
      </c>
      <c r="AN247" s="33">
        <v>21</v>
      </c>
      <c r="AO247" s="33">
        <f>G247*1</f>
        <v>0</v>
      </c>
      <c r="AP247" s="33">
        <f>G247*(1-1)</f>
        <v>0</v>
      </c>
      <c r="AQ247" s="29" t="s">
        <v>570</v>
      </c>
      <c r="AV247" s="33">
        <f>AW247+AX247</f>
        <v>0</v>
      </c>
      <c r="AW247" s="33">
        <f>F247*AO247</f>
        <v>0</v>
      </c>
      <c r="AX247" s="33">
        <f>F247*AP247</f>
        <v>0</v>
      </c>
      <c r="AY247" s="34" t="s">
        <v>577</v>
      </c>
      <c r="AZ247" s="34" t="s">
        <v>600</v>
      </c>
      <c r="BA247" s="25" t="s">
        <v>603</v>
      </c>
      <c r="BC247" s="33">
        <f>AW247+AX247</f>
        <v>0</v>
      </c>
      <c r="BD247" s="33">
        <f>G247/(100-BE247)*100</f>
        <v>0</v>
      </c>
      <c r="BE247" s="33">
        <v>0</v>
      </c>
      <c r="BF247" s="33">
        <f>M247</f>
        <v>0</v>
      </c>
      <c r="BH247" s="17">
        <f>F247*AO247</f>
        <v>0</v>
      </c>
      <c r="BI247" s="17">
        <f>F247*AP247</f>
        <v>0</v>
      </c>
      <c r="BJ247" s="17">
        <f>F247*G247</f>
        <v>0</v>
      </c>
    </row>
    <row r="248" spans="1:62" ht="12.75">
      <c r="A248" s="82" t="s">
        <v>194</v>
      </c>
      <c r="B248" s="82" t="s">
        <v>200</v>
      </c>
      <c r="C248" s="82" t="s">
        <v>340</v>
      </c>
      <c r="D248" s="82" t="s">
        <v>519</v>
      </c>
      <c r="E248" s="82" t="s">
        <v>535</v>
      </c>
      <c r="F248" s="83">
        <v>1</v>
      </c>
      <c r="G248" s="83"/>
      <c r="H248" s="83">
        <f>F248*AO248</f>
        <v>0</v>
      </c>
      <c r="I248" s="83">
        <f>F248*AP248</f>
        <v>0</v>
      </c>
      <c r="J248" s="83">
        <f>F248*G248</f>
        <v>0</v>
      </c>
      <c r="K248" s="84">
        <f>IF(J250=0,0,J248/J250)</f>
        <v>0</v>
      </c>
      <c r="L248" s="83">
        <v>0</v>
      </c>
      <c r="M248" s="83">
        <f>F248*L248</f>
        <v>0</v>
      </c>
      <c r="N248" s="85"/>
      <c r="Z248" s="33">
        <f>IF(AQ248="5",BJ248,0)</f>
        <v>0</v>
      </c>
      <c r="AB248" s="33">
        <f>IF(AQ248="1",BH248,0)</f>
        <v>0</v>
      </c>
      <c r="AC248" s="33">
        <f>IF(AQ248="1",BI248,0)</f>
        <v>0</v>
      </c>
      <c r="AD248" s="33">
        <f>IF(AQ248="7",BH248,0)</f>
        <v>0</v>
      </c>
      <c r="AE248" s="33">
        <f>IF(AQ248="7",BI248,0)</f>
        <v>0</v>
      </c>
      <c r="AF248" s="33">
        <f>IF(AQ248="2",BH248,0)</f>
        <v>0</v>
      </c>
      <c r="AG248" s="33">
        <f>IF(AQ248="2",BI248,0)</f>
        <v>0</v>
      </c>
      <c r="AH248" s="33">
        <f>IF(AQ248="0",BJ248,0)</f>
        <v>0</v>
      </c>
      <c r="AI248" s="25" t="s">
        <v>200</v>
      </c>
      <c r="AJ248" s="17">
        <f>IF(AN248=0,J248,0)</f>
        <v>0</v>
      </c>
      <c r="AK248" s="17">
        <f>IF(AN248=15,J248,0)</f>
        <v>0</v>
      </c>
      <c r="AL248" s="17">
        <f>IF(AN248=21,J248,0)</f>
        <v>0</v>
      </c>
      <c r="AN248" s="33">
        <v>21</v>
      </c>
      <c r="AO248" s="33">
        <f>G248*1</f>
        <v>0</v>
      </c>
      <c r="AP248" s="33">
        <f>G248*(1-1)</f>
        <v>0</v>
      </c>
      <c r="AQ248" s="29" t="s">
        <v>570</v>
      </c>
      <c r="AV248" s="33">
        <f>AW248+AX248</f>
        <v>0</v>
      </c>
      <c r="AW248" s="33">
        <f>F248*AO248</f>
        <v>0</v>
      </c>
      <c r="AX248" s="33">
        <f>F248*AP248</f>
        <v>0</v>
      </c>
      <c r="AY248" s="34" t="s">
        <v>577</v>
      </c>
      <c r="AZ248" s="34" t="s">
        <v>600</v>
      </c>
      <c r="BA248" s="25" t="s">
        <v>603</v>
      </c>
      <c r="BC248" s="33">
        <f>AW248+AX248</f>
        <v>0</v>
      </c>
      <c r="BD248" s="33">
        <f>G248/(100-BE248)*100</f>
        <v>0</v>
      </c>
      <c r="BE248" s="33">
        <v>0</v>
      </c>
      <c r="BF248" s="33">
        <f>M248</f>
        <v>0</v>
      </c>
      <c r="BH248" s="17">
        <f>F248*AO248</f>
        <v>0</v>
      </c>
      <c r="BI248" s="17">
        <f>F248*AP248</f>
        <v>0</v>
      </c>
      <c r="BJ248" s="17">
        <f>F248*G248</f>
        <v>0</v>
      </c>
    </row>
    <row r="249" spans="1:62" ht="12.75">
      <c r="A249" s="82" t="s">
        <v>195</v>
      </c>
      <c r="B249" s="82" t="s">
        <v>200</v>
      </c>
      <c r="C249" s="82" t="s">
        <v>341</v>
      </c>
      <c r="D249" s="82" t="s">
        <v>520</v>
      </c>
      <c r="E249" s="82" t="s">
        <v>535</v>
      </c>
      <c r="F249" s="83">
        <v>1</v>
      </c>
      <c r="G249" s="83"/>
      <c r="H249" s="83">
        <f>F249*AO249</f>
        <v>0</v>
      </c>
      <c r="I249" s="83">
        <f>F249*AP249</f>
        <v>0</v>
      </c>
      <c r="J249" s="83">
        <f>F249*G249</f>
        <v>0</v>
      </c>
      <c r="K249" s="84">
        <f>IF(J250=0,0,J249/J250)</f>
        <v>0</v>
      </c>
      <c r="L249" s="83">
        <v>0</v>
      </c>
      <c r="M249" s="83">
        <f>F249*L249</f>
        <v>0</v>
      </c>
      <c r="N249" s="85"/>
      <c r="Z249" s="33">
        <f>IF(AQ249="5",BJ249,0)</f>
        <v>0</v>
      </c>
      <c r="AB249" s="33">
        <f>IF(AQ249="1",BH249,0)</f>
        <v>0</v>
      </c>
      <c r="AC249" s="33">
        <f>IF(AQ249="1",BI249,0)</f>
        <v>0</v>
      </c>
      <c r="AD249" s="33">
        <f>IF(AQ249="7",BH249,0)</f>
        <v>0</v>
      </c>
      <c r="AE249" s="33">
        <f>IF(AQ249="7",BI249,0)</f>
        <v>0</v>
      </c>
      <c r="AF249" s="33">
        <f>IF(AQ249="2",BH249,0)</f>
        <v>0</v>
      </c>
      <c r="AG249" s="33">
        <f>IF(AQ249="2",BI249,0)</f>
        <v>0</v>
      </c>
      <c r="AH249" s="33">
        <f>IF(AQ249="0",BJ249,0)</f>
        <v>0</v>
      </c>
      <c r="AI249" s="25" t="s">
        <v>200</v>
      </c>
      <c r="AJ249" s="17">
        <f>IF(AN249=0,J249,0)</f>
        <v>0</v>
      </c>
      <c r="AK249" s="17">
        <f>IF(AN249=15,J249,0)</f>
        <v>0</v>
      </c>
      <c r="AL249" s="17">
        <f>IF(AN249=21,J249,0)</f>
        <v>0</v>
      </c>
      <c r="AN249" s="33">
        <v>21</v>
      </c>
      <c r="AO249" s="33">
        <f>G249*1</f>
        <v>0</v>
      </c>
      <c r="AP249" s="33">
        <f>G249*(1-1)</f>
        <v>0</v>
      </c>
      <c r="AQ249" s="29" t="s">
        <v>570</v>
      </c>
      <c r="AV249" s="33">
        <f>AW249+AX249</f>
        <v>0</v>
      </c>
      <c r="AW249" s="33">
        <f>F249*AO249</f>
        <v>0</v>
      </c>
      <c r="AX249" s="33">
        <f>F249*AP249</f>
        <v>0</v>
      </c>
      <c r="AY249" s="34" t="s">
        <v>577</v>
      </c>
      <c r="AZ249" s="34" t="s">
        <v>600</v>
      </c>
      <c r="BA249" s="25" t="s">
        <v>603</v>
      </c>
      <c r="BC249" s="33">
        <f>AW249+AX249</f>
        <v>0</v>
      </c>
      <c r="BD249" s="33">
        <f>G249/(100-BE249)*100</f>
        <v>0</v>
      </c>
      <c r="BE249" s="33">
        <v>0</v>
      </c>
      <c r="BF249" s="33">
        <f>M249</f>
        <v>0</v>
      </c>
      <c r="BH249" s="17">
        <f>F249*AO249</f>
        <v>0</v>
      </c>
      <c r="BI249" s="17">
        <f>F249*AP249</f>
        <v>0</v>
      </c>
      <c r="BJ249" s="17">
        <f>F249*G249</f>
        <v>0</v>
      </c>
    </row>
    <row r="250" spans="1:14" ht="12.75">
      <c r="A250" s="102"/>
      <c r="B250" s="102"/>
      <c r="C250" s="102"/>
      <c r="D250" s="102"/>
      <c r="E250" s="102"/>
      <c r="F250" s="102"/>
      <c r="G250" s="102"/>
      <c r="H250" s="108" t="s">
        <v>548</v>
      </c>
      <c r="I250" s="109"/>
      <c r="J250" s="103">
        <f>ROUND(J13+J18+J21+J53+J93+J111+J113+J116+J119+J122+J154+J190+J201+J215+J218+J220+J224+J235+J242+J244,0)</f>
        <v>0</v>
      </c>
      <c r="K250" s="102"/>
      <c r="L250" s="102"/>
      <c r="M250" s="102"/>
      <c r="N250" s="102"/>
    </row>
    <row r="251" ht="11.25" customHeight="1">
      <c r="A251" s="8" t="s">
        <v>196</v>
      </c>
    </row>
    <row r="252" spans="1:14" ht="12.75">
      <c r="A252" s="110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</sheetData>
  <sheetProtection/>
  <mergeCells count="29">
    <mergeCell ref="A1:N1"/>
    <mergeCell ref="A2:C3"/>
    <mergeCell ref="D2:D3"/>
    <mergeCell ref="E2:F3"/>
    <mergeCell ref="G2:G3"/>
    <mergeCell ref="H2:H3"/>
    <mergeCell ref="I2:N3"/>
    <mergeCell ref="A4:C5"/>
    <mergeCell ref="D4:D5"/>
    <mergeCell ref="E4:F5"/>
    <mergeCell ref="G4:G5"/>
    <mergeCell ref="H4:H5"/>
    <mergeCell ref="I4:N5"/>
    <mergeCell ref="A6:C7"/>
    <mergeCell ref="D6:D7"/>
    <mergeCell ref="E6:F7"/>
    <mergeCell ref="G6:G7"/>
    <mergeCell ref="H6:H7"/>
    <mergeCell ref="I6:N7"/>
    <mergeCell ref="H10:J10"/>
    <mergeCell ref="L10:M10"/>
    <mergeCell ref="H250:I250"/>
    <mergeCell ref="A252:N252"/>
    <mergeCell ref="A8:C9"/>
    <mergeCell ref="D8:D9"/>
    <mergeCell ref="E8:F9"/>
    <mergeCell ref="G8:G9"/>
    <mergeCell ref="H8:H9"/>
    <mergeCell ref="I8:N9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EQ1"/>
    </sheetView>
  </sheetViews>
  <sheetFormatPr defaultColWidth="11.57421875" defaultRowHeight="12.75"/>
  <cols>
    <col min="1" max="45" width="2.8515625" style="0" customWidth="1"/>
    <col min="46" max="46" width="4.140625" style="0" customWidth="1"/>
    <col min="47" max="147" width="2.8515625" style="0" customWidth="1"/>
    <col min="148" max="250" width="11.57421875" style="0" customWidth="1"/>
    <col min="251" max="254" width="12.140625" style="0" hidden="1" customWidth="1"/>
  </cols>
  <sheetData>
    <row r="1" spans="1:147" ht="72.75" customHeight="1">
      <c r="A1" s="119" t="s">
        <v>811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</row>
    <row r="2" spans="1:148" ht="12.75">
      <c r="A2" s="121" t="s">
        <v>0</v>
      </c>
      <c r="B2" s="122"/>
      <c r="C2" s="122"/>
      <c r="D2" s="122"/>
      <c r="E2" s="122"/>
      <c r="F2" s="123" t="str">
        <f>'Výkaz výměr'!D2</f>
        <v>Rekonstrukce inženýrských sítí v ulici Dvořákova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25" t="s">
        <v>521</v>
      </c>
      <c r="AK2" s="122"/>
      <c r="AL2" s="122"/>
      <c r="AM2" s="122"/>
      <c r="AN2" s="122"/>
      <c r="AO2" s="122"/>
      <c r="AP2" s="122"/>
      <c r="AQ2" s="126" t="str">
        <f>'Výkaz výměr'!G2</f>
        <v> </v>
      </c>
      <c r="AR2" s="122"/>
      <c r="AS2" s="122"/>
      <c r="AT2" s="122"/>
      <c r="AU2" s="122"/>
      <c r="AV2" s="122"/>
      <c r="AW2" s="126" t="s">
        <v>542</v>
      </c>
      <c r="AX2" s="122"/>
      <c r="AY2" s="122"/>
      <c r="AZ2" s="122"/>
      <c r="BA2" s="122"/>
      <c r="BB2" s="122"/>
      <c r="BC2" s="122"/>
      <c r="BD2" s="126" t="str">
        <f>'Výkaz výměr'!I2</f>
        <v>Město Pelhřimov</v>
      </c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7"/>
      <c r="ER2" s="31"/>
    </row>
    <row r="3" spans="1:148" ht="12.75">
      <c r="A3" s="118"/>
      <c r="B3" s="111"/>
      <c r="C3" s="111"/>
      <c r="D3" s="111"/>
      <c r="E3" s="111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6"/>
      <c r="ER3" s="31"/>
    </row>
    <row r="4" spans="1:148" ht="12.75">
      <c r="A4" s="112" t="s">
        <v>1</v>
      </c>
      <c r="B4" s="111"/>
      <c r="C4" s="111"/>
      <c r="D4" s="111"/>
      <c r="E4" s="111"/>
      <c r="F4" s="110" t="str">
        <f>'Výkaz výměr'!D4</f>
        <v> 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5" t="s">
        <v>522</v>
      </c>
      <c r="AK4" s="111"/>
      <c r="AL4" s="111"/>
      <c r="AM4" s="111"/>
      <c r="AN4" s="111"/>
      <c r="AO4" s="111"/>
      <c r="AP4" s="111"/>
      <c r="AQ4" s="110" t="str">
        <f>'Výkaz výměr'!G4</f>
        <v> </v>
      </c>
      <c r="AR4" s="111"/>
      <c r="AS4" s="111"/>
      <c r="AT4" s="111"/>
      <c r="AU4" s="111"/>
      <c r="AV4" s="111"/>
      <c r="AW4" s="110" t="s">
        <v>543</v>
      </c>
      <c r="AX4" s="111"/>
      <c r="AY4" s="111"/>
      <c r="AZ4" s="111"/>
      <c r="BA4" s="111"/>
      <c r="BB4" s="111"/>
      <c r="BC4" s="111"/>
      <c r="BD4" s="110" t="str">
        <f>'Výkaz výměr'!I4</f>
        <v>Realizace a projekce staveb s.r.o.</v>
      </c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6"/>
      <c r="ER4" s="31"/>
    </row>
    <row r="5" spans="1:148" ht="12.75">
      <c r="A5" s="118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6"/>
      <c r="ER5" s="31"/>
    </row>
    <row r="6" spans="1:148" ht="12.75">
      <c r="A6" s="112" t="s">
        <v>2</v>
      </c>
      <c r="B6" s="111"/>
      <c r="C6" s="111"/>
      <c r="D6" s="111"/>
      <c r="E6" s="111"/>
      <c r="F6" s="110" t="str">
        <f>'Výkaz výměr'!D6</f>
        <v>Pelhřimov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5" t="s">
        <v>523</v>
      </c>
      <c r="AK6" s="111"/>
      <c r="AL6" s="111"/>
      <c r="AM6" s="111"/>
      <c r="AN6" s="111"/>
      <c r="AO6" s="111"/>
      <c r="AP6" s="111"/>
      <c r="AQ6" s="110" t="str">
        <f>'Výkaz výměr'!G6</f>
        <v> </v>
      </c>
      <c r="AR6" s="111"/>
      <c r="AS6" s="111"/>
      <c r="AT6" s="111"/>
      <c r="AU6" s="111"/>
      <c r="AV6" s="111"/>
      <c r="AW6" s="110" t="s">
        <v>544</v>
      </c>
      <c r="AX6" s="111"/>
      <c r="AY6" s="111"/>
      <c r="AZ6" s="111"/>
      <c r="BA6" s="111"/>
      <c r="BB6" s="111"/>
      <c r="BC6" s="111"/>
      <c r="BD6" s="110" t="str">
        <f>'Výkaz výměr'!I6</f>
        <v> </v>
      </c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6"/>
      <c r="ER6" s="31"/>
    </row>
    <row r="7" spans="1:148" ht="12.75">
      <c r="A7" s="118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6"/>
      <c r="ER7" s="31"/>
    </row>
    <row r="8" spans="1:148" ht="12.75">
      <c r="A8" s="112" t="s">
        <v>3</v>
      </c>
      <c r="B8" s="111"/>
      <c r="C8" s="111"/>
      <c r="D8" s="111"/>
      <c r="E8" s="111"/>
      <c r="F8" s="110" t="str">
        <f>'Výkaz výměr'!D8</f>
        <v> 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5" t="s">
        <v>524</v>
      </c>
      <c r="AK8" s="111"/>
      <c r="AL8" s="111"/>
      <c r="AM8" s="111"/>
      <c r="AN8" s="111"/>
      <c r="AO8" s="111"/>
      <c r="AP8" s="111"/>
      <c r="AQ8" s="110" t="str">
        <f>'Výkaz výměr'!G8</f>
        <v>10.09.2019</v>
      </c>
      <c r="AR8" s="111"/>
      <c r="AS8" s="111"/>
      <c r="AT8" s="111"/>
      <c r="AU8" s="111"/>
      <c r="AV8" s="111"/>
      <c r="AW8" s="110" t="s">
        <v>545</v>
      </c>
      <c r="AX8" s="111"/>
      <c r="AY8" s="111"/>
      <c r="AZ8" s="111"/>
      <c r="BA8" s="111"/>
      <c r="BB8" s="111"/>
      <c r="BC8" s="111"/>
      <c r="BD8" s="110" t="str">
        <f>'Výkaz výměr'!I8</f>
        <v> </v>
      </c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6"/>
      <c r="ER8" s="31"/>
    </row>
    <row r="9" spans="1:148" ht="12.7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3"/>
      <c r="ER9" s="31"/>
    </row>
    <row r="10" spans="1:148" ht="12.75">
      <c r="A10" s="147" t="s">
        <v>4</v>
      </c>
      <c r="B10" s="149"/>
      <c r="C10" s="147" t="s">
        <v>197</v>
      </c>
      <c r="D10" s="148"/>
      <c r="E10" s="149"/>
      <c r="F10" s="147" t="s">
        <v>201</v>
      </c>
      <c r="G10" s="148"/>
      <c r="H10" s="148"/>
      <c r="I10" s="148"/>
      <c r="J10" s="148"/>
      <c r="K10" s="149"/>
      <c r="L10" s="147" t="s">
        <v>344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9"/>
      <c r="AS10" s="147" t="s">
        <v>525</v>
      </c>
      <c r="AT10" s="149"/>
      <c r="AU10" s="147" t="s">
        <v>345</v>
      </c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9"/>
      <c r="CK10" s="147" t="s">
        <v>538</v>
      </c>
      <c r="CL10" s="148"/>
      <c r="CM10" s="148"/>
      <c r="CN10" s="148"/>
      <c r="CO10" s="149"/>
      <c r="CP10" s="147" t="s">
        <v>741</v>
      </c>
      <c r="CQ10" s="148"/>
      <c r="CR10" s="148"/>
      <c r="CS10" s="148"/>
      <c r="CT10" s="148"/>
      <c r="CU10" s="148"/>
      <c r="CV10" s="148"/>
      <c r="CW10" s="149"/>
      <c r="CX10" s="147" t="s">
        <v>742</v>
      </c>
      <c r="CY10" s="148"/>
      <c r="CZ10" s="148"/>
      <c r="DA10" s="148"/>
      <c r="DB10" s="148"/>
      <c r="DC10" s="148"/>
      <c r="DD10" s="148"/>
      <c r="DE10" s="149"/>
      <c r="DF10" s="147" t="s">
        <v>743</v>
      </c>
      <c r="DG10" s="148"/>
      <c r="DH10" s="148"/>
      <c r="DI10" s="148"/>
      <c r="DJ10" s="148"/>
      <c r="DK10" s="148"/>
      <c r="DL10" s="148"/>
      <c r="DM10" s="149"/>
      <c r="DN10" s="147" t="s">
        <v>744</v>
      </c>
      <c r="DO10" s="148"/>
      <c r="DP10" s="148"/>
      <c r="DQ10" s="148"/>
      <c r="DR10" s="148"/>
      <c r="DS10" s="148"/>
      <c r="DT10" s="148"/>
      <c r="DU10" s="149"/>
      <c r="DV10" s="147" t="s">
        <v>745</v>
      </c>
      <c r="DW10" s="148"/>
      <c r="DX10" s="148"/>
      <c r="DY10" s="148"/>
      <c r="DZ10" s="148"/>
      <c r="EA10" s="148"/>
      <c r="EB10" s="148"/>
      <c r="EC10" s="149"/>
      <c r="ED10" s="147" t="s">
        <v>746</v>
      </c>
      <c r="EE10" s="148"/>
      <c r="EF10" s="148"/>
      <c r="EG10" s="148"/>
      <c r="EH10" s="148"/>
      <c r="EI10" s="148"/>
      <c r="EJ10" s="148"/>
      <c r="EK10" s="149"/>
      <c r="EL10" s="147" t="s">
        <v>747</v>
      </c>
      <c r="EM10" s="148"/>
      <c r="EN10" s="148"/>
      <c r="EO10" s="148"/>
      <c r="EP10" s="148"/>
      <c r="EQ10" s="150"/>
      <c r="ER10" s="31"/>
    </row>
    <row r="11" spans="1:147" ht="12.75">
      <c r="A11" s="136" t="s">
        <v>5</v>
      </c>
      <c r="B11" s="137"/>
      <c r="C11" s="136" t="s">
        <v>5</v>
      </c>
      <c r="D11" s="137"/>
      <c r="E11" s="137"/>
      <c r="F11" s="136"/>
      <c r="G11" s="137"/>
      <c r="H11" s="137"/>
      <c r="I11" s="137"/>
      <c r="J11" s="137"/>
      <c r="K11" s="137"/>
      <c r="L11" s="136" t="s">
        <v>346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6" t="s">
        <v>5</v>
      </c>
      <c r="AT11" s="137"/>
      <c r="AU11" s="136" t="s">
        <v>5</v>
      </c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8" t="s">
        <v>5</v>
      </c>
      <c r="CL11" s="139"/>
      <c r="CM11" s="139"/>
      <c r="CN11" s="139"/>
      <c r="CO11" s="139"/>
      <c r="CP11" s="138" t="s">
        <v>5</v>
      </c>
      <c r="CQ11" s="139"/>
      <c r="CR11" s="139"/>
      <c r="CS11" s="139"/>
      <c r="CT11" s="139"/>
      <c r="CU11" s="139"/>
      <c r="CV11" s="139"/>
      <c r="CW11" s="139"/>
      <c r="CX11" s="145">
        <f>CX12+CX17+CX20+CX49+CX91+CX107+CX109</f>
        <v>0</v>
      </c>
      <c r="CY11" s="146"/>
      <c r="CZ11" s="146"/>
      <c r="DA11" s="146"/>
      <c r="DB11" s="146"/>
      <c r="DC11" s="146"/>
      <c r="DD11" s="146"/>
      <c r="DE11" s="146"/>
      <c r="DF11" s="144">
        <f>DF12+DF17+DF20+DF49+DF91+DF107+DF109</f>
        <v>0</v>
      </c>
      <c r="DG11" s="139"/>
      <c r="DH11" s="139"/>
      <c r="DI11" s="139"/>
      <c r="DJ11" s="139"/>
      <c r="DK11" s="139"/>
      <c r="DL11" s="139"/>
      <c r="DM11" s="139"/>
      <c r="DN11" s="144">
        <f>DN12+DN17+DN20+DN49+DN91+DN107+DN109</f>
        <v>0</v>
      </c>
      <c r="DO11" s="139"/>
      <c r="DP11" s="139"/>
      <c r="DQ11" s="139"/>
      <c r="DR11" s="139"/>
      <c r="DS11" s="139"/>
      <c r="DT11" s="139"/>
      <c r="DU11" s="139"/>
      <c r="DV11" s="138" t="s">
        <v>5</v>
      </c>
      <c r="DW11" s="139"/>
      <c r="DX11" s="139"/>
      <c r="DY11" s="139"/>
      <c r="DZ11" s="139"/>
      <c r="EA11" s="139"/>
      <c r="EB11" s="139"/>
      <c r="EC11" s="139"/>
      <c r="ED11" s="144">
        <f>ED12+ED17+ED20+ED49+ED91+ED107+ED109</f>
        <v>2243.61854252</v>
      </c>
      <c r="EE11" s="139"/>
      <c r="EF11" s="139"/>
      <c r="EG11" s="139"/>
      <c r="EH11" s="139"/>
      <c r="EI11" s="139"/>
      <c r="EJ11" s="139"/>
      <c r="EK11" s="139"/>
      <c r="EL11" s="136" t="s">
        <v>5</v>
      </c>
      <c r="EM11" s="137"/>
      <c r="EN11" s="137"/>
      <c r="EO11" s="137"/>
      <c r="EP11" s="137"/>
      <c r="EQ11" s="137"/>
    </row>
    <row r="12" spans="1:147" ht="12.75">
      <c r="A12" s="136" t="s">
        <v>5</v>
      </c>
      <c r="B12" s="137"/>
      <c r="C12" s="136" t="s">
        <v>5</v>
      </c>
      <c r="D12" s="137"/>
      <c r="E12" s="137"/>
      <c r="F12" s="136" t="s">
        <v>6</v>
      </c>
      <c r="G12" s="137"/>
      <c r="H12" s="137"/>
      <c r="I12" s="137"/>
      <c r="J12" s="137"/>
      <c r="K12" s="137"/>
      <c r="L12" s="136" t="s">
        <v>347</v>
      </c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6" t="s">
        <v>5</v>
      </c>
      <c r="AT12" s="137"/>
      <c r="AU12" s="136" t="s">
        <v>5</v>
      </c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8" t="s">
        <v>5</v>
      </c>
      <c r="CL12" s="139"/>
      <c r="CM12" s="139"/>
      <c r="CN12" s="139"/>
      <c r="CO12" s="139"/>
      <c r="CP12" s="138" t="s">
        <v>5</v>
      </c>
      <c r="CQ12" s="139"/>
      <c r="CR12" s="139"/>
      <c r="CS12" s="139"/>
      <c r="CT12" s="139"/>
      <c r="CU12" s="139"/>
      <c r="CV12" s="139"/>
      <c r="CW12" s="139"/>
      <c r="CX12" s="134">
        <f>SUM(CX13:CX16)</f>
        <v>0</v>
      </c>
      <c r="CY12" s="135"/>
      <c r="CZ12" s="135"/>
      <c r="DA12" s="135"/>
      <c r="DB12" s="135"/>
      <c r="DC12" s="135"/>
      <c r="DD12" s="135"/>
      <c r="DE12" s="135"/>
      <c r="DF12" s="144">
        <f>SUM(DF13:DF16)</f>
        <v>0</v>
      </c>
      <c r="DG12" s="139"/>
      <c r="DH12" s="139"/>
      <c r="DI12" s="139"/>
      <c r="DJ12" s="139"/>
      <c r="DK12" s="139"/>
      <c r="DL12" s="139"/>
      <c r="DM12" s="139"/>
      <c r="DN12" s="144">
        <f>SUM(DN13:DN16)</f>
        <v>0</v>
      </c>
      <c r="DO12" s="139"/>
      <c r="DP12" s="139"/>
      <c r="DQ12" s="139"/>
      <c r="DR12" s="139"/>
      <c r="DS12" s="139"/>
      <c r="DT12" s="139"/>
      <c r="DU12" s="139"/>
      <c r="DV12" s="138" t="s">
        <v>5</v>
      </c>
      <c r="DW12" s="139"/>
      <c r="DX12" s="139"/>
      <c r="DY12" s="139"/>
      <c r="DZ12" s="139"/>
      <c r="EA12" s="139"/>
      <c r="EB12" s="139"/>
      <c r="EC12" s="139"/>
      <c r="ED12" s="144">
        <f>SUM(ED13:ED16)</f>
        <v>0</v>
      </c>
      <c r="EE12" s="139"/>
      <c r="EF12" s="139"/>
      <c r="EG12" s="139"/>
      <c r="EH12" s="139"/>
      <c r="EI12" s="139"/>
      <c r="EJ12" s="139"/>
      <c r="EK12" s="139"/>
      <c r="EL12" s="136" t="s">
        <v>5</v>
      </c>
      <c r="EM12" s="137"/>
      <c r="EN12" s="137"/>
      <c r="EO12" s="137"/>
      <c r="EP12" s="137"/>
      <c r="EQ12" s="137"/>
    </row>
    <row r="13" spans="1:253" ht="12.75">
      <c r="A13" s="132" t="s">
        <v>6</v>
      </c>
      <c r="B13" s="133"/>
      <c r="C13" s="132" t="s">
        <v>198</v>
      </c>
      <c r="D13" s="133"/>
      <c r="E13" s="133"/>
      <c r="F13" s="132" t="s">
        <v>202</v>
      </c>
      <c r="G13" s="133"/>
      <c r="H13" s="133"/>
      <c r="I13" s="133"/>
      <c r="J13" s="133"/>
      <c r="K13" s="133"/>
      <c r="L13" s="132" t="s">
        <v>348</v>
      </c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2" t="s">
        <v>526</v>
      </c>
      <c r="AT13" s="133"/>
      <c r="AU13" s="132" t="s">
        <v>607</v>
      </c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0">
        <f>'Výkaz výměr'!F14</f>
        <v>355.1</v>
      </c>
      <c r="CL13" s="131"/>
      <c r="CM13" s="131"/>
      <c r="CN13" s="131"/>
      <c r="CO13" s="131"/>
      <c r="CP13" s="130">
        <f>'Výkaz výměr'!G14</f>
        <v>0</v>
      </c>
      <c r="CQ13" s="131"/>
      <c r="CR13" s="131"/>
      <c r="CS13" s="131"/>
      <c r="CT13" s="131"/>
      <c r="CU13" s="131"/>
      <c r="CV13" s="131"/>
      <c r="CW13" s="131"/>
      <c r="CX13" s="130">
        <f>IR13*CK13</f>
        <v>0</v>
      </c>
      <c r="CY13" s="131"/>
      <c r="CZ13" s="131"/>
      <c r="DA13" s="131"/>
      <c r="DB13" s="131"/>
      <c r="DC13" s="131"/>
      <c r="DD13" s="131"/>
      <c r="DE13" s="131"/>
      <c r="DF13" s="130">
        <f>IS13*CK13</f>
        <v>0</v>
      </c>
      <c r="DG13" s="131"/>
      <c r="DH13" s="131"/>
      <c r="DI13" s="131"/>
      <c r="DJ13" s="131"/>
      <c r="DK13" s="131"/>
      <c r="DL13" s="131"/>
      <c r="DM13" s="131"/>
      <c r="DN13" s="130">
        <f>IR13*CK13+IS13*CK13</f>
        <v>0</v>
      </c>
      <c r="DO13" s="131"/>
      <c r="DP13" s="131"/>
      <c r="DQ13" s="131"/>
      <c r="DR13" s="131"/>
      <c r="DS13" s="131"/>
      <c r="DT13" s="131"/>
      <c r="DU13" s="131"/>
      <c r="DV13" s="130">
        <f>'Výkaz výměr'!L14</f>
        <v>0</v>
      </c>
      <c r="DW13" s="131"/>
      <c r="DX13" s="131"/>
      <c r="DY13" s="131"/>
      <c r="DZ13" s="131"/>
      <c r="EA13" s="131"/>
      <c r="EB13" s="131"/>
      <c r="EC13" s="131"/>
      <c r="ED13" s="130">
        <f>DV13*CK13</f>
        <v>0</v>
      </c>
      <c r="EE13" s="131"/>
      <c r="EF13" s="131"/>
      <c r="EG13" s="131"/>
      <c r="EH13" s="131"/>
      <c r="EI13" s="131"/>
      <c r="EJ13" s="131"/>
      <c r="EK13" s="131"/>
      <c r="EL13" s="132"/>
      <c r="EM13" s="133"/>
      <c r="EN13" s="133"/>
      <c r="EO13" s="133"/>
      <c r="EP13" s="133"/>
      <c r="EQ13" s="133"/>
      <c r="IR13" s="42">
        <f>CP13*1</f>
        <v>0</v>
      </c>
      <c r="IS13" s="42">
        <f>CP13*(1-1)</f>
        <v>0</v>
      </c>
    </row>
    <row r="14" spans="1:253" ht="12.75">
      <c r="A14" s="132" t="s">
        <v>7</v>
      </c>
      <c r="B14" s="133"/>
      <c r="C14" s="132" t="s">
        <v>198</v>
      </c>
      <c r="D14" s="133"/>
      <c r="E14" s="133"/>
      <c r="F14" s="132" t="s">
        <v>203</v>
      </c>
      <c r="G14" s="133"/>
      <c r="H14" s="133"/>
      <c r="I14" s="133"/>
      <c r="J14" s="133"/>
      <c r="K14" s="133"/>
      <c r="L14" s="132" t="s">
        <v>349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2" t="s">
        <v>526</v>
      </c>
      <c r="AT14" s="133"/>
      <c r="AU14" s="132" t="s">
        <v>607</v>
      </c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0">
        <f>'Výkaz výměr'!F15</f>
        <v>355.1</v>
      </c>
      <c r="CL14" s="131"/>
      <c r="CM14" s="131"/>
      <c r="CN14" s="131"/>
      <c r="CO14" s="131"/>
      <c r="CP14" s="130">
        <f>'Výkaz výměr'!G15</f>
        <v>0</v>
      </c>
      <c r="CQ14" s="131"/>
      <c r="CR14" s="131"/>
      <c r="CS14" s="131"/>
      <c r="CT14" s="131"/>
      <c r="CU14" s="131"/>
      <c r="CV14" s="131"/>
      <c r="CW14" s="131"/>
      <c r="CX14" s="130">
        <f>IR14*CK14</f>
        <v>0</v>
      </c>
      <c r="CY14" s="131"/>
      <c r="CZ14" s="131"/>
      <c r="DA14" s="131"/>
      <c r="DB14" s="131"/>
      <c r="DC14" s="131"/>
      <c r="DD14" s="131"/>
      <c r="DE14" s="131"/>
      <c r="DF14" s="130">
        <f>IS14*CK14</f>
        <v>0</v>
      </c>
      <c r="DG14" s="131"/>
      <c r="DH14" s="131"/>
      <c r="DI14" s="131"/>
      <c r="DJ14" s="131"/>
      <c r="DK14" s="131"/>
      <c r="DL14" s="131"/>
      <c r="DM14" s="131"/>
      <c r="DN14" s="130">
        <f>IR14*CK14+IS14*CK14</f>
        <v>0</v>
      </c>
      <c r="DO14" s="131"/>
      <c r="DP14" s="131"/>
      <c r="DQ14" s="131"/>
      <c r="DR14" s="131"/>
      <c r="DS14" s="131"/>
      <c r="DT14" s="131"/>
      <c r="DU14" s="131"/>
      <c r="DV14" s="130">
        <f>'Výkaz výměr'!L15</f>
        <v>0</v>
      </c>
      <c r="DW14" s="131"/>
      <c r="DX14" s="131"/>
      <c r="DY14" s="131"/>
      <c r="DZ14" s="131"/>
      <c r="EA14" s="131"/>
      <c r="EB14" s="131"/>
      <c r="EC14" s="131"/>
      <c r="ED14" s="130">
        <f>DV14*CK14</f>
        <v>0</v>
      </c>
      <c r="EE14" s="131"/>
      <c r="EF14" s="131"/>
      <c r="EG14" s="131"/>
      <c r="EH14" s="131"/>
      <c r="EI14" s="131"/>
      <c r="EJ14" s="131"/>
      <c r="EK14" s="131"/>
      <c r="EL14" s="132"/>
      <c r="EM14" s="133"/>
      <c r="EN14" s="133"/>
      <c r="EO14" s="133"/>
      <c r="EP14" s="133"/>
      <c r="EQ14" s="133"/>
      <c r="IR14" s="42">
        <f>CP14*1</f>
        <v>0</v>
      </c>
      <c r="IS14" s="42">
        <f>CP14*(1-1)</f>
        <v>0</v>
      </c>
    </row>
    <row r="15" spans="1:253" ht="12.75">
      <c r="A15" s="142" t="s">
        <v>8</v>
      </c>
      <c r="B15" s="143"/>
      <c r="C15" s="142" t="s">
        <v>198</v>
      </c>
      <c r="D15" s="143"/>
      <c r="E15" s="143"/>
      <c r="F15" s="142" t="s">
        <v>204</v>
      </c>
      <c r="G15" s="143"/>
      <c r="H15" s="143"/>
      <c r="I15" s="143"/>
      <c r="J15" s="143"/>
      <c r="K15" s="143"/>
      <c r="L15" s="142" t="s">
        <v>350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2" t="s">
        <v>527</v>
      </c>
      <c r="AT15" s="143"/>
      <c r="AU15" s="142" t="s">
        <v>608</v>
      </c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0">
        <f>'Výkaz výměr'!F16</f>
        <v>4.5</v>
      </c>
      <c r="CL15" s="141"/>
      <c r="CM15" s="141"/>
      <c r="CN15" s="141"/>
      <c r="CO15" s="141"/>
      <c r="CP15" s="140">
        <f>'Výkaz výměr'!G16</f>
        <v>0</v>
      </c>
      <c r="CQ15" s="141"/>
      <c r="CR15" s="141"/>
      <c r="CS15" s="141"/>
      <c r="CT15" s="141"/>
      <c r="CU15" s="141"/>
      <c r="CV15" s="141"/>
      <c r="CW15" s="141"/>
      <c r="CX15" s="140">
        <f>IR15*CK15</f>
        <v>0</v>
      </c>
      <c r="CY15" s="141"/>
      <c r="CZ15" s="141"/>
      <c r="DA15" s="141"/>
      <c r="DB15" s="141"/>
      <c r="DC15" s="141"/>
      <c r="DD15" s="141"/>
      <c r="DE15" s="141"/>
      <c r="DF15" s="140">
        <f>IS15*CK15</f>
        <v>0</v>
      </c>
      <c r="DG15" s="141"/>
      <c r="DH15" s="141"/>
      <c r="DI15" s="141"/>
      <c r="DJ15" s="141"/>
      <c r="DK15" s="141"/>
      <c r="DL15" s="141"/>
      <c r="DM15" s="141"/>
      <c r="DN15" s="140">
        <f>IR15*CK15+IS15*CK15</f>
        <v>0</v>
      </c>
      <c r="DO15" s="141"/>
      <c r="DP15" s="141"/>
      <c r="DQ15" s="141"/>
      <c r="DR15" s="141"/>
      <c r="DS15" s="141"/>
      <c r="DT15" s="141"/>
      <c r="DU15" s="141"/>
      <c r="DV15" s="140">
        <f>'Výkaz výměr'!L16</f>
        <v>0</v>
      </c>
      <c r="DW15" s="141"/>
      <c r="DX15" s="141"/>
      <c r="DY15" s="141"/>
      <c r="DZ15" s="141"/>
      <c r="EA15" s="141"/>
      <c r="EB15" s="141"/>
      <c r="EC15" s="141"/>
      <c r="ED15" s="140">
        <f>DV15*CK15</f>
        <v>0</v>
      </c>
      <c r="EE15" s="141"/>
      <c r="EF15" s="141"/>
      <c r="EG15" s="141"/>
      <c r="EH15" s="141"/>
      <c r="EI15" s="141"/>
      <c r="EJ15" s="141"/>
      <c r="EK15" s="141"/>
      <c r="EL15" s="142"/>
      <c r="EM15" s="143"/>
      <c r="EN15" s="143"/>
      <c r="EO15" s="143"/>
      <c r="EP15" s="143"/>
      <c r="EQ15" s="143"/>
      <c r="IR15" s="43">
        <f>CP15*0</f>
        <v>0</v>
      </c>
      <c r="IS15" s="43">
        <f>CP15*(1-0)</f>
        <v>0</v>
      </c>
    </row>
    <row r="16" spans="1:253" ht="12.75">
      <c r="A16" s="142" t="s">
        <v>9</v>
      </c>
      <c r="B16" s="143"/>
      <c r="C16" s="142" t="s">
        <v>198</v>
      </c>
      <c r="D16" s="143"/>
      <c r="E16" s="143"/>
      <c r="F16" s="142" t="s">
        <v>205</v>
      </c>
      <c r="G16" s="143"/>
      <c r="H16" s="143"/>
      <c r="I16" s="143"/>
      <c r="J16" s="143"/>
      <c r="K16" s="143"/>
      <c r="L16" s="142" t="s">
        <v>351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2" t="s">
        <v>527</v>
      </c>
      <c r="AT16" s="143"/>
      <c r="AU16" s="142" t="s">
        <v>609</v>
      </c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0">
        <f>'Výkaz výměr'!F17</f>
        <v>1</v>
      </c>
      <c r="CL16" s="141"/>
      <c r="CM16" s="141"/>
      <c r="CN16" s="141"/>
      <c r="CO16" s="141"/>
      <c r="CP16" s="140">
        <f>'Výkaz výměr'!G17</f>
        <v>0</v>
      </c>
      <c r="CQ16" s="141"/>
      <c r="CR16" s="141"/>
      <c r="CS16" s="141"/>
      <c r="CT16" s="141"/>
      <c r="CU16" s="141"/>
      <c r="CV16" s="141"/>
      <c r="CW16" s="141"/>
      <c r="CX16" s="140">
        <f>IR16*CK16</f>
        <v>0</v>
      </c>
      <c r="CY16" s="141"/>
      <c r="CZ16" s="141"/>
      <c r="DA16" s="141"/>
      <c r="DB16" s="141"/>
      <c r="DC16" s="141"/>
      <c r="DD16" s="141"/>
      <c r="DE16" s="141"/>
      <c r="DF16" s="140">
        <f>IS16*CK16</f>
        <v>0</v>
      </c>
      <c r="DG16" s="141"/>
      <c r="DH16" s="141"/>
      <c r="DI16" s="141"/>
      <c r="DJ16" s="141"/>
      <c r="DK16" s="141"/>
      <c r="DL16" s="141"/>
      <c r="DM16" s="141"/>
      <c r="DN16" s="140">
        <f>IR16*CK16+IS16*CK16</f>
        <v>0</v>
      </c>
      <c r="DO16" s="141"/>
      <c r="DP16" s="141"/>
      <c r="DQ16" s="141"/>
      <c r="DR16" s="141"/>
      <c r="DS16" s="141"/>
      <c r="DT16" s="141"/>
      <c r="DU16" s="141"/>
      <c r="DV16" s="140">
        <f>'Výkaz výměr'!L17</f>
        <v>0</v>
      </c>
      <c r="DW16" s="141"/>
      <c r="DX16" s="141"/>
      <c r="DY16" s="141"/>
      <c r="DZ16" s="141"/>
      <c r="EA16" s="141"/>
      <c r="EB16" s="141"/>
      <c r="EC16" s="141"/>
      <c r="ED16" s="140">
        <f>DV16*CK16</f>
        <v>0</v>
      </c>
      <c r="EE16" s="141"/>
      <c r="EF16" s="141"/>
      <c r="EG16" s="141"/>
      <c r="EH16" s="141"/>
      <c r="EI16" s="141"/>
      <c r="EJ16" s="141"/>
      <c r="EK16" s="141"/>
      <c r="EL16" s="142"/>
      <c r="EM16" s="143"/>
      <c r="EN16" s="143"/>
      <c r="EO16" s="143"/>
      <c r="EP16" s="143"/>
      <c r="EQ16" s="143"/>
      <c r="IR16" s="43">
        <f>CP16*0</f>
        <v>0</v>
      </c>
      <c r="IS16" s="43">
        <f>CP16*(1-0)</f>
        <v>0</v>
      </c>
    </row>
    <row r="17" spans="1:147" ht="12.75">
      <c r="A17" s="136" t="s">
        <v>5</v>
      </c>
      <c r="B17" s="137"/>
      <c r="C17" s="136" t="s">
        <v>5</v>
      </c>
      <c r="D17" s="137"/>
      <c r="E17" s="137"/>
      <c r="F17" s="136" t="s">
        <v>7</v>
      </c>
      <c r="G17" s="137"/>
      <c r="H17" s="137"/>
      <c r="I17" s="137"/>
      <c r="J17" s="137"/>
      <c r="K17" s="137"/>
      <c r="L17" s="136" t="s">
        <v>352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6" t="s">
        <v>5</v>
      </c>
      <c r="AT17" s="137"/>
      <c r="AU17" s="136" t="s">
        <v>5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8" t="s">
        <v>5</v>
      </c>
      <c r="CL17" s="139"/>
      <c r="CM17" s="139"/>
      <c r="CN17" s="139"/>
      <c r="CO17" s="139"/>
      <c r="CP17" s="138" t="s">
        <v>5</v>
      </c>
      <c r="CQ17" s="139"/>
      <c r="CR17" s="139"/>
      <c r="CS17" s="139"/>
      <c r="CT17" s="139"/>
      <c r="CU17" s="139"/>
      <c r="CV17" s="139"/>
      <c r="CW17" s="139"/>
      <c r="CX17" s="134">
        <f>SUM(CX18:CX19)</f>
        <v>0</v>
      </c>
      <c r="CY17" s="135"/>
      <c r="CZ17" s="135"/>
      <c r="DA17" s="135"/>
      <c r="DB17" s="135"/>
      <c r="DC17" s="135"/>
      <c r="DD17" s="135"/>
      <c r="DE17" s="135"/>
      <c r="DF17" s="144">
        <f>SUM(DF18:DF19)</f>
        <v>0</v>
      </c>
      <c r="DG17" s="139"/>
      <c r="DH17" s="139"/>
      <c r="DI17" s="139"/>
      <c r="DJ17" s="139"/>
      <c r="DK17" s="139"/>
      <c r="DL17" s="139"/>
      <c r="DM17" s="139"/>
      <c r="DN17" s="144">
        <f>SUM(DN18:DN19)</f>
        <v>0</v>
      </c>
      <c r="DO17" s="139"/>
      <c r="DP17" s="139"/>
      <c r="DQ17" s="139"/>
      <c r="DR17" s="139"/>
      <c r="DS17" s="139"/>
      <c r="DT17" s="139"/>
      <c r="DU17" s="139"/>
      <c r="DV17" s="138" t="s">
        <v>5</v>
      </c>
      <c r="DW17" s="139"/>
      <c r="DX17" s="139"/>
      <c r="DY17" s="139"/>
      <c r="DZ17" s="139"/>
      <c r="EA17" s="139"/>
      <c r="EB17" s="139"/>
      <c r="EC17" s="139"/>
      <c r="ED17" s="144">
        <f>SUM(ED18:ED19)</f>
        <v>0.38356</v>
      </c>
      <c r="EE17" s="139"/>
      <c r="EF17" s="139"/>
      <c r="EG17" s="139"/>
      <c r="EH17" s="139"/>
      <c r="EI17" s="139"/>
      <c r="EJ17" s="139"/>
      <c r="EK17" s="139"/>
      <c r="EL17" s="136" t="s">
        <v>5</v>
      </c>
      <c r="EM17" s="137"/>
      <c r="EN17" s="137"/>
      <c r="EO17" s="137"/>
      <c r="EP17" s="137"/>
      <c r="EQ17" s="137"/>
    </row>
    <row r="18" spans="1:253" ht="12.75">
      <c r="A18" s="142" t="s">
        <v>10</v>
      </c>
      <c r="B18" s="143"/>
      <c r="C18" s="142" t="s">
        <v>198</v>
      </c>
      <c r="D18" s="143"/>
      <c r="E18" s="143"/>
      <c r="F18" s="142" t="s">
        <v>206</v>
      </c>
      <c r="G18" s="143"/>
      <c r="H18" s="143"/>
      <c r="I18" s="143"/>
      <c r="J18" s="143"/>
      <c r="K18" s="143"/>
      <c r="L18" s="142" t="s">
        <v>353</v>
      </c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2" t="s">
        <v>528</v>
      </c>
      <c r="AT18" s="143"/>
      <c r="AU18" s="142" t="s">
        <v>610</v>
      </c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0">
        <f>'Výkaz výměr'!F19</f>
        <v>446</v>
      </c>
      <c r="CL18" s="141"/>
      <c r="CM18" s="141"/>
      <c r="CN18" s="141"/>
      <c r="CO18" s="141"/>
      <c r="CP18" s="140">
        <f>'Výkaz výměr'!G19</f>
        <v>0</v>
      </c>
      <c r="CQ18" s="141"/>
      <c r="CR18" s="141"/>
      <c r="CS18" s="141"/>
      <c r="CT18" s="141"/>
      <c r="CU18" s="141"/>
      <c r="CV18" s="141"/>
      <c r="CW18" s="141"/>
      <c r="CX18" s="140">
        <f>IR18*CK18</f>
        <v>0</v>
      </c>
      <c r="CY18" s="141"/>
      <c r="CZ18" s="141"/>
      <c r="DA18" s="141"/>
      <c r="DB18" s="141"/>
      <c r="DC18" s="141"/>
      <c r="DD18" s="141"/>
      <c r="DE18" s="141"/>
      <c r="DF18" s="140">
        <f>IS18*CK18</f>
        <v>0</v>
      </c>
      <c r="DG18" s="141"/>
      <c r="DH18" s="141"/>
      <c r="DI18" s="141"/>
      <c r="DJ18" s="141"/>
      <c r="DK18" s="141"/>
      <c r="DL18" s="141"/>
      <c r="DM18" s="141"/>
      <c r="DN18" s="140">
        <f>IR18*CK18+IS18*CK18</f>
        <v>0</v>
      </c>
      <c r="DO18" s="141"/>
      <c r="DP18" s="141"/>
      <c r="DQ18" s="141"/>
      <c r="DR18" s="141"/>
      <c r="DS18" s="141"/>
      <c r="DT18" s="141"/>
      <c r="DU18" s="141"/>
      <c r="DV18" s="140">
        <f>'Výkaz výměr'!L19</f>
        <v>0.00086</v>
      </c>
      <c r="DW18" s="141"/>
      <c r="DX18" s="141"/>
      <c r="DY18" s="141"/>
      <c r="DZ18" s="141"/>
      <c r="EA18" s="141"/>
      <c r="EB18" s="141"/>
      <c r="EC18" s="141"/>
      <c r="ED18" s="140">
        <f>DV18*CK18</f>
        <v>0.38356</v>
      </c>
      <c r="EE18" s="141"/>
      <c r="EF18" s="141"/>
      <c r="EG18" s="141"/>
      <c r="EH18" s="141"/>
      <c r="EI18" s="141"/>
      <c r="EJ18" s="141"/>
      <c r="EK18" s="141"/>
      <c r="EL18" s="142" t="s">
        <v>559</v>
      </c>
      <c r="EM18" s="143"/>
      <c r="EN18" s="143"/>
      <c r="EO18" s="143"/>
      <c r="EP18" s="143"/>
      <c r="EQ18" s="143"/>
      <c r="IR18" s="43">
        <f>CP18*0.0729661016949153</f>
        <v>0</v>
      </c>
      <c r="IS18" s="43">
        <f>CP18*(1-0.0729661016949153)</f>
        <v>0</v>
      </c>
    </row>
    <row r="19" spans="1:253" ht="12.75">
      <c r="A19" s="142" t="s">
        <v>11</v>
      </c>
      <c r="B19" s="143"/>
      <c r="C19" s="142" t="s">
        <v>198</v>
      </c>
      <c r="D19" s="143"/>
      <c r="E19" s="143"/>
      <c r="F19" s="142" t="s">
        <v>207</v>
      </c>
      <c r="G19" s="143"/>
      <c r="H19" s="143"/>
      <c r="I19" s="143"/>
      <c r="J19" s="143"/>
      <c r="K19" s="143"/>
      <c r="L19" s="142" t="s">
        <v>354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2" t="s">
        <v>528</v>
      </c>
      <c r="AT19" s="143"/>
      <c r="AU19" s="142" t="s">
        <v>610</v>
      </c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0">
        <f>'Výkaz výměr'!F20</f>
        <v>446</v>
      </c>
      <c r="CL19" s="141"/>
      <c r="CM19" s="141"/>
      <c r="CN19" s="141"/>
      <c r="CO19" s="141"/>
      <c r="CP19" s="140">
        <f>'Výkaz výměr'!G20</f>
        <v>0</v>
      </c>
      <c r="CQ19" s="141"/>
      <c r="CR19" s="141"/>
      <c r="CS19" s="141"/>
      <c r="CT19" s="141"/>
      <c r="CU19" s="141"/>
      <c r="CV19" s="141"/>
      <c r="CW19" s="141"/>
      <c r="CX19" s="140">
        <f>IR19*CK19</f>
        <v>0</v>
      </c>
      <c r="CY19" s="141"/>
      <c r="CZ19" s="141"/>
      <c r="DA19" s="141"/>
      <c r="DB19" s="141"/>
      <c r="DC19" s="141"/>
      <c r="DD19" s="141"/>
      <c r="DE19" s="141"/>
      <c r="DF19" s="140">
        <f>IS19*CK19</f>
        <v>0</v>
      </c>
      <c r="DG19" s="141"/>
      <c r="DH19" s="141"/>
      <c r="DI19" s="141"/>
      <c r="DJ19" s="141"/>
      <c r="DK19" s="141"/>
      <c r="DL19" s="141"/>
      <c r="DM19" s="141"/>
      <c r="DN19" s="140">
        <f>IR19*CK19+IS19*CK19</f>
        <v>0</v>
      </c>
      <c r="DO19" s="141"/>
      <c r="DP19" s="141"/>
      <c r="DQ19" s="141"/>
      <c r="DR19" s="141"/>
      <c r="DS19" s="141"/>
      <c r="DT19" s="141"/>
      <c r="DU19" s="141"/>
      <c r="DV19" s="140">
        <f>'Výkaz výměr'!L20</f>
        <v>0</v>
      </c>
      <c r="DW19" s="141"/>
      <c r="DX19" s="141"/>
      <c r="DY19" s="141"/>
      <c r="DZ19" s="141"/>
      <c r="EA19" s="141"/>
      <c r="EB19" s="141"/>
      <c r="EC19" s="141"/>
      <c r="ED19" s="140">
        <f>DV19*CK19</f>
        <v>0</v>
      </c>
      <c r="EE19" s="141"/>
      <c r="EF19" s="141"/>
      <c r="EG19" s="141"/>
      <c r="EH19" s="141"/>
      <c r="EI19" s="141"/>
      <c r="EJ19" s="141"/>
      <c r="EK19" s="141"/>
      <c r="EL19" s="142" t="s">
        <v>559</v>
      </c>
      <c r="EM19" s="143"/>
      <c r="EN19" s="143"/>
      <c r="EO19" s="143"/>
      <c r="EP19" s="143"/>
      <c r="EQ19" s="143"/>
      <c r="IR19" s="43">
        <f>CP19*0</f>
        <v>0</v>
      </c>
      <c r="IS19" s="43">
        <f>CP19*(1-0)</f>
        <v>0</v>
      </c>
    </row>
    <row r="20" spans="1:147" ht="12.75">
      <c r="A20" s="136" t="s">
        <v>5</v>
      </c>
      <c r="B20" s="137"/>
      <c r="C20" s="136" t="s">
        <v>5</v>
      </c>
      <c r="D20" s="137"/>
      <c r="E20" s="137"/>
      <c r="F20" s="136" t="s">
        <v>92</v>
      </c>
      <c r="G20" s="137"/>
      <c r="H20" s="137"/>
      <c r="I20" s="137"/>
      <c r="J20" s="137"/>
      <c r="K20" s="137"/>
      <c r="L20" s="136" t="s">
        <v>355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6" t="s">
        <v>5</v>
      </c>
      <c r="AT20" s="137"/>
      <c r="AU20" s="136" t="s">
        <v>5</v>
      </c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8" t="s">
        <v>5</v>
      </c>
      <c r="CL20" s="139"/>
      <c r="CM20" s="139"/>
      <c r="CN20" s="139"/>
      <c r="CO20" s="139"/>
      <c r="CP20" s="138" t="s">
        <v>5</v>
      </c>
      <c r="CQ20" s="139"/>
      <c r="CR20" s="139"/>
      <c r="CS20" s="139"/>
      <c r="CT20" s="139"/>
      <c r="CU20" s="139"/>
      <c r="CV20" s="139"/>
      <c r="CW20" s="139"/>
      <c r="CX20" s="134">
        <f>SUM(CX21:CX48)</f>
        <v>0</v>
      </c>
      <c r="CY20" s="135"/>
      <c r="CZ20" s="135"/>
      <c r="DA20" s="135"/>
      <c r="DB20" s="135"/>
      <c r="DC20" s="135"/>
      <c r="DD20" s="135"/>
      <c r="DE20" s="135"/>
      <c r="DF20" s="144">
        <f>SUM(DF21:DF48)</f>
        <v>0</v>
      </c>
      <c r="DG20" s="139"/>
      <c r="DH20" s="139"/>
      <c r="DI20" s="139"/>
      <c r="DJ20" s="139"/>
      <c r="DK20" s="139"/>
      <c r="DL20" s="139"/>
      <c r="DM20" s="139"/>
      <c r="DN20" s="144">
        <f>SUM(DN21:DN48)</f>
        <v>0</v>
      </c>
      <c r="DO20" s="139"/>
      <c r="DP20" s="139"/>
      <c r="DQ20" s="139"/>
      <c r="DR20" s="139"/>
      <c r="DS20" s="139"/>
      <c r="DT20" s="139"/>
      <c r="DU20" s="139"/>
      <c r="DV20" s="138" t="s">
        <v>5</v>
      </c>
      <c r="DW20" s="139"/>
      <c r="DX20" s="139"/>
      <c r="DY20" s="139"/>
      <c r="DZ20" s="139"/>
      <c r="EA20" s="139"/>
      <c r="EB20" s="139"/>
      <c r="EC20" s="139"/>
      <c r="ED20" s="144">
        <f>SUM(ED21:ED48)</f>
        <v>1417.10485</v>
      </c>
      <c r="EE20" s="139"/>
      <c r="EF20" s="139"/>
      <c r="EG20" s="139"/>
      <c r="EH20" s="139"/>
      <c r="EI20" s="139"/>
      <c r="EJ20" s="139"/>
      <c r="EK20" s="139"/>
      <c r="EL20" s="136" t="s">
        <v>5</v>
      </c>
      <c r="EM20" s="137"/>
      <c r="EN20" s="137"/>
      <c r="EO20" s="137"/>
      <c r="EP20" s="137"/>
      <c r="EQ20" s="137"/>
    </row>
    <row r="21" spans="1:253" ht="12.75">
      <c r="A21" s="142" t="s">
        <v>12</v>
      </c>
      <c r="B21" s="143"/>
      <c r="C21" s="142" t="s">
        <v>198</v>
      </c>
      <c r="D21" s="143"/>
      <c r="E21" s="143"/>
      <c r="F21" s="142" t="s">
        <v>208</v>
      </c>
      <c r="G21" s="143"/>
      <c r="H21" s="143"/>
      <c r="I21" s="143"/>
      <c r="J21" s="143"/>
      <c r="K21" s="143"/>
      <c r="L21" s="142" t="s">
        <v>356</v>
      </c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2" t="s">
        <v>528</v>
      </c>
      <c r="AT21" s="143"/>
      <c r="AU21" s="142" t="s">
        <v>611</v>
      </c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0">
        <f>'Výkaz výměr'!F22</f>
        <v>1025</v>
      </c>
      <c r="CL21" s="141"/>
      <c r="CM21" s="141"/>
      <c r="CN21" s="141"/>
      <c r="CO21" s="141"/>
      <c r="CP21" s="140">
        <f>'Výkaz výměr'!G22</f>
        <v>0</v>
      </c>
      <c r="CQ21" s="141"/>
      <c r="CR21" s="141"/>
      <c r="CS21" s="141"/>
      <c r="CT21" s="141"/>
      <c r="CU21" s="141"/>
      <c r="CV21" s="141"/>
      <c r="CW21" s="141"/>
      <c r="CX21" s="140">
        <f aca="true" t="shared" si="0" ref="CX21:CX48">IR21*CK21</f>
        <v>0</v>
      </c>
      <c r="CY21" s="141"/>
      <c r="CZ21" s="141"/>
      <c r="DA21" s="141"/>
      <c r="DB21" s="141"/>
      <c r="DC21" s="141"/>
      <c r="DD21" s="141"/>
      <c r="DE21" s="141"/>
      <c r="DF21" s="140">
        <f aca="true" t="shared" si="1" ref="DF21:DF48">IS21*CK21</f>
        <v>0</v>
      </c>
      <c r="DG21" s="141"/>
      <c r="DH21" s="141"/>
      <c r="DI21" s="141"/>
      <c r="DJ21" s="141"/>
      <c r="DK21" s="141"/>
      <c r="DL21" s="141"/>
      <c r="DM21" s="141"/>
      <c r="DN21" s="140">
        <f aca="true" t="shared" si="2" ref="DN21:DN48">IR21*CK21+IS21*CK21</f>
        <v>0</v>
      </c>
      <c r="DO21" s="141"/>
      <c r="DP21" s="141"/>
      <c r="DQ21" s="141"/>
      <c r="DR21" s="141"/>
      <c r="DS21" s="141"/>
      <c r="DT21" s="141"/>
      <c r="DU21" s="141"/>
      <c r="DV21" s="140">
        <f>'Výkaz výměr'!L22</f>
        <v>0.22</v>
      </c>
      <c r="DW21" s="141"/>
      <c r="DX21" s="141"/>
      <c r="DY21" s="141"/>
      <c r="DZ21" s="141"/>
      <c r="EA21" s="141"/>
      <c r="EB21" s="141"/>
      <c r="EC21" s="141"/>
      <c r="ED21" s="140">
        <f aca="true" t="shared" si="3" ref="ED21:ED48">DV21*CK21</f>
        <v>225.5</v>
      </c>
      <c r="EE21" s="141"/>
      <c r="EF21" s="141"/>
      <c r="EG21" s="141"/>
      <c r="EH21" s="141"/>
      <c r="EI21" s="141"/>
      <c r="EJ21" s="141"/>
      <c r="EK21" s="141"/>
      <c r="EL21" s="142" t="s">
        <v>559</v>
      </c>
      <c r="EM21" s="143"/>
      <c r="EN21" s="143"/>
      <c r="EO21" s="143"/>
      <c r="EP21" s="143"/>
      <c r="EQ21" s="143"/>
      <c r="IR21" s="43">
        <f aca="true" t="shared" si="4" ref="IR21:IR29">CP21*0</f>
        <v>0</v>
      </c>
      <c r="IS21" s="43">
        <f aca="true" t="shared" si="5" ref="IS21:IS29">CP21*(1-0)</f>
        <v>0</v>
      </c>
    </row>
    <row r="22" spans="1:253" ht="12.75">
      <c r="A22" s="142" t="s">
        <v>13</v>
      </c>
      <c r="B22" s="143"/>
      <c r="C22" s="142" t="s">
        <v>198</v>
      </c>
      <c r="D22" s="143"/>
      <c r="E22" s="143"/>
      <c r="F22" s="142" t="s">
        <v>209</v>
      </c>
      <c r="G22" s="143"/>
      <c r="H22" s="143"/>
      <c r="I22" s="143"/>
      <c r="J22" s="143"/>
      <c r="K22" s="143"/>
      <c r="L22" s="142" t="s">
        <v>357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2" t="s">
        <v>528</v>
      </c>
      <c r="AT22" s="143"/>
      <c r="AU22" s="142" t="s">
        <v>612</v>
      </c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0">
        <f>'Výkaz výměr'!F23</f>
        <v>1575</v>
      </c>
      <c r="CL22" s="141"/>
      <c r="CM22" s="141"/>
      <c r="CN22" s="141"/>
      <c r="CO22" s="141"/>
      <c r="CP22" s="140">
        <f>'Výkaz výměr'!G23</f>
        <v>0</v>
      </c>
      <c r="CQ22" s="141"/>
      <c r="CR22" s="141"/>
      <c r="CS22" s="141"/>
      <c r="CT22" s="141"/>
      <c r="CU22" s="141"/>
      <c r="CV22" s="141"/>
      <c r="CW22" s="141"/>
      <c r="CX22" s="140">
        <f t="shared" si="0"/>
        <v>0</v>
      </c>
      <c r="CY22" s="141"/>
      <c r="CZ22" s="141"/>
      <c r="DA22" s="141"/>
      <c r="DB22" s="141"/>
      <c r="DC22" s="141"/>
      <c r="DD22" s="141"/>
      <c r="DE22" s="141"/>
      <c r="DF22" s="140">
        <f t="shared" si="1"/>
        <v>0</v>
      </c>
      <c r="DG22" s="141"/>
      <c r="DH22" s="141"/>
      <c r="DI22" s="141"/>
      <c r="DJ22" s="141"/>
      <c r="DK22" s="141"/>
      <c r="DL22" s="141"/>
      <c r="DM22" s="141"/>
      <c r="DN22" s="140">
        <f t="shared" si="2"/>
        <v>0</v>
      </c>
      <c r="DO22" s="141"/>
      <c r="DP22" s="141"/>
      <c r="DQ22" s="141"/>
      <c r="DR22" s="141"/>
      <c r="DS22" s="141"/>
      <c r="DT22" s="141"/>
      <c r="DU22" s="141"/>
      <c r="DV22" s="140">
        <f>'Výkaz výměr'!L23</f>
        <v>0.66</v>
      </c>
      <c r="DW22" s="141"/>
      <c r="DX22" s="141"/>
      <c r="DY22" s="141"/>
      <c r="DZ22" s="141"/>
      <c r="EA22" s="141"/>
      <c r="EB22" s="141"/>
      <c r="EC22" s="141"/>
      <c r="ED22" s="140">
        <f t="shared" si="3"/>
        <v>1039.5</v>
      </c>
      <c r="EE22" s="141"/>
      <c r="EF22" s="141"/>
      <c r="EG22" s="141"/>
      <c r="EH22" s="141"/>
      <c r="EI22" s="141"/>
      <c r="EJ22" s="141"/>
      <c r="EK22" s="141"/>
      <c r="EL22" s="142" t="s">
        <v>559</v>
      </c>
      <c r="EM22" s="143"/>
      <c r="EN22" s="143"/>
      <c r="EO22" s="143"/>
      <c r="EP22" s="143"/>
      <c r="EQ22" s="143"/>
      <c r="IR22" s="43">
        <f t="shared" si="4"/>
        <v>0</v>
      </c>
      <c r="IS22" s="43">
        <f t="shared" si="5"/>
        <v>0</v>
      </c>
    </row>
    <row r="23" spans="1:253" ht="12.75">
      <c r="A23" s="142" t="s">
        <v>14</v>
      </c>
      <c r="B23" s="143"/>
      <c r="C23" s="142" t="s">
        <v>198</v>
      </c>
      <c r="D23" s="143"/>
      <c r="E23" s="143"/>
      <c r="F23" s="142" t="s">
        <v>210</v>
      </c>
      <c r="G23" s="143"/>
      <c r="H23" s="143"/>
      <c r="I23" s="143"/>
      <c r="J23" s="143"/>
      <c r="K23" s="143"/>
      <c r="L23" s="142" t="s">
        <v>358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2" t="s">
        <v>528</v>
      </c>
      <c r="AT23" s="143"/>
      <c r="AU23" s="142" t="s">
        <v>613</v>
      </c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0">
        <f>'Výkaz výměr'!F24</f>
        <v>550</v>
      </c>
      <c r="CL23" s="141"/>
      <c r="CM23" s="141"/>
      <c r="CN23" s="141"/>
      <c r="CO23" s="141"/>
      <c r="CP23" s="140">
        <f>'Výkaz výměr'!G24</f>
        <v>0</v>
      </c>
      <c r="CQ23" s="141"/>
      <c r="CR23" s="141"/>
      <c r="CS23" s="141"/>
      <c r="CT23" s="141"/>
      <c r="CU23" s="141"/>
      <c r="CV23" s="141"/>
      <c r="CW23" s="141"/>
      <c r="CX23" s="140">
        <f t="shared" si="0"/>
        <v>0</v>
      </c>
      <c r="CY23" s="141"/>
      <c r="CZ23" s="141"/>
      <c r="DA23" s="141"/>
      <c r="DB23" s="141"/>
      <c r="DC23" s="141"/>
      <c r="DD23" s="141"/>
      <c r="DE23" s="141"/>
      <c r="DF23" s="140">
        <f t="shared" si="1"/>
        <v>0</v>
      </c>
      <c r="DG23" s="141"/>
      <c r="DH23" s="141"/>
      <c r="DI23" s="141"/>
      <c r="DJ23" s="141"/>
      <c r="DK23" s="141"/>
      <c r="DL23" s="141"/>
      <c r="DM23" s="141"/>
      <c r="DN23" s="140">
        <f t="shared" si="2"/>
        <v>0</v>
      </c>
      <c r="DO23" s="141"/>
      <c r="DP23" s="141"/>
      <c r="DQ23" s="141"/>
      <c r="DR23" s="141"/>
      <c r="DS23" s="141"/>
      <c r="DT23" s="141"/>
      <c r="DU23" s="141"/>
      <c r="DV23" s="140">
        <f>'Výkaz výměr'!L24</f>
        <v>0.138</v>
      </c>
      <c r="DW23" s="141"/>
      <c r="DX23" s="141"/>
      <c r="DY23" s="141"/>
      <c r="DZ23" s="141"/>
      <c r="EA23" s="141"/>
      <c r="EB23" s="141"/>
      <c r="EC23" s="141"/>
      <c r="ED23" s="140">
        <f t="shared" si="3"/>
        <v>75.9</v>
      </c>
      <c r="EE23" s="141"/>
      <c r="EF23" s="141"/>
      <c r="EG23" s="141"/>
      <c r="EH23" s="141"/>
      <c r="EI23" s="141"/>
      <c r="EJ23" s="141"/>
      <c r="EK23" s="141"/>
      <c r="EL23" s="142" t="s">
        <v>559</v>
      </c>
      <c r="EM23" s="143"/>
      <c r="EN23" s="143"/>
      <c r="EO23" s="143"/>
      <c r="EP23" s="143"/>
      <c r="EQ23" s="143"/>
      <c r="IR23" s="43">
        <f t="shared" si="4"/>
        <v>0</v>
      </c>
      <c r="IS23" s="43">
        <f t="shared" si="5"/>
        <v>0</v>
      </c>
    </row>
    <row r="24" spans="1:253" ht="12.75">
      <c r="A24" s="142" t="s">
        <v>15</v>
      </c>
      <c r="B24" s="143"/>
      <c r="C24" s="142" t="s">
        <v>198</v>
      </c>
      <c r="D24" s="143"/>
      <c r="E24" s="143"/>
      <c r="F24" s="142" t="s">
        <v>211</v>
      </c>
      <c r="G24" s="143"/>
      <c r="H24" s="143"/>
      <c r="I24" s="143"/>
      <c r="J24" s="143"/>
      <c r="K24" s="143"/>
      <c r="L24" s="142" t="s">
        <v>359</v>
      </c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2" t="s">
        <v>526</v>
      </c>
      <c r="AT24" s="143"/>
      <c r="AU24" s="142" t="s">
        <v>614</v>
      </c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0">
        <f>'Výkaz výměr'!F25</f>
        <v>274.5</v>
      </c>
      <c r="CL24" s="141"/>
      <c r="CM24" s="141"/>
      <c r="CN24" s="141"/>
      <c r="CO24" s="141"/>
      <c r="CP24" s="140">
        <f>'Výkaz výměr'!G25</f>
        <v>0</v>
      </c>
      <c r="CQ24" s="141"/>
      <c r="CR24" s="141"/>
      <c r="CS24" s="141"/>
      <c r="CT24" s="141"/>
      <c r="CU24" s="141"/>
      <c r="CV24" s="141"/>
      <c r="CW24" s="141"/>
      <c r="CX24" s="140">
        <f t="shared" si="0"/>
        <v>0</v>
      </c>
      <c r="CY24" s="141"/>
      <c r="CZ24" s="141"/>
      <c r="DA24" s="141"/>
      <c r="DB24" s="141"/>
      <c r="DC24" s="141"/>
      <c r="DD24" s="141"/>
      <c r="DE24" s="141"/>
      <c r="DF24" s="140">
        <f t="shared" si="1"/>
        <v>0</v>
      </c>
      <c r="DG24" s="141"/>
      <c r="DH24" s="141"/>
      <c r="DI24" s="141"/>
      <c r="DJ24" s="141"/>
      <c r="DK24" s="141"/>
      <c r="DL24" s="141"/>
      <c r="DM24" s="141"/>
      <c r="DN24" s="140">
        <f t="shared" si="2"/>
        <v>0</v>
      </c>
      <c r="DO24" s="141"/>
      <c r="DP24" s="141"/>
      <c r="DQ24" s="141"/>
      <c r="DR24" s="141"/>
      <c r="DS24" s="141"/>
      <c r="DT24" s="141"/>
      <c r="DU24" s="141"/>
      <c r="DV24" s="140">
        <f>'Výkaz výměr'!L25</f>
        <v>0.27</v>
      </c>
      <c r="DW24" s="141"/>
      <c r="DX24" s="141"/>
      <c r="DY24" s="141"/>
      <c r="DZ24" s="141"/>
      <c r="EA24" s="141"/>
      <c r="EB24" s="141"/>
      <c r="EC24" s="141"/>
      <c r="ED24" s="140">
        <f t="shared" si="3"/>
        <v>74.11500000000001</v>
      </c>
      <c r="EE24" s="141"/>
      <c r="EF24" s="141"/>
      <c r="EG24" s="141"/>
      <c r="EH24" s="141"/>
      <c r="EI24" s="141"/>
      <c r="EJ24" s="141"/>
      <c r="EK24" s="141"/>
      <c r="EL24" s="142" t="s">
        <v>559</v>
      </c>
      <c r="EM24" s="143"/>
      <c r="EN24" s="143"/>
      <c r="EO24" s="143"/>
      <c r="EP24" s="143"/>
      <c r="EQ24" s="143"/>
      <c r="IR24" s="43">
        <f t="shared" si="4"/>
        <v>0</v>
      </c>
      <c r="IS24" s="43">
        <f t="shared" si="5"/>
        <v>0</v>
      </c>
    </row>
    <row r="25" spans="1:253" ht="12.75">
      <c r="A25" s="142" t="s">
        <v>16</v>
      </c>
      <c r="B25" s="143"/>
      <c r="C25" s="142" t="s">
        <v>198</v>
      </c>
      <c r="D25" s="143"/>
      <c r="E25" s="143"/>
      <c r="F25" s="142" t="s">
        <v>212</v>
      </c>
      <c r="G25" s="143"/>
      <c r="H25" s="143"/>
      <c r="I25" s="143"/>
      <c r="J25" s="143"/>
      <c r="K25" s="143"/>
      <c r="L25" s="142" t="s">
        <v>360</v>
      </c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2" t="s">
        <v>529</v>
      </c>
      <c r="AT25" s="143"/>
      <c r="AU25" s="142" t="s">
        <v>615</v>
      </c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0">
        <f>'Výkaz výměr'!F26</f>
        <v>1415.02</v>
      </c>
      <c r="CL25" s="141"/>
      <c r="CM25" s="141"/>
      <c r="CN25" s="141"/>
      <c r="CO25" s="141"/>
      <c r="CP25" s="140">
        <f>'Výkaz výměr'!G26</f>
        <v>0</v>
      </c>
      <c r="CQ25" s="141"/>
      <c r="CR25" s="141"/>
      <c r="CS25" s="141"/>
      <c r="CT25" s="141"/>
      <c r="CU25" s="141"/>
      <c r="CV25" s="141"/>
      <c r="CW25" s="141"/>
      <c r="CX25" s="140">
        <f t="shared" si="0"/>
        <v>0</v>
      </c>
      <c r="CY25" s="141"/>
      <c r="CZ25" s="141"/>
      <c r="DA25" s="141"/>
      <c r="DB25" s="141"/>
      <c r="DC25" s="141"/>
      <c r="DD25" s="141"/>
      <c r="DE25" s="141"/>
      <c r="DF25" s="140">
        <f t="shared" si="1"/>
        <v>0</v>
      </c>
      <c r="DG25" s="141"/>
      <c r="DH25" s="141"/>
      <c r="DI25" s="141"/>
      <c r="DJ25" s="141"/>
      <c r="DK25" s="141"/>
      <c r="DL25" s="141"/>
      <c r="DM25" s="141"/>
      <c r="DN25" s="140">
        <f t="shared" si="2"/>
        <v>0</v>
      </c>
      <c r="DO25" s="141"/>
      <c r="DP25" s="141"/>
      <c r="DQ25" s="141"/>
      <c r="DR25" s="141"/>
      <c r="DS25" s="141"/>
      <c r="DT25" s="141"/>
      <c r="DU25" s="141"/>
      <c r="DV25" s="140">
        <f>'Výkaz výměr'!L26</f>
        <v>0</v>
      </c>
      <c r="DW25" s="141"/>
      <c r="DX25" s="141"/>
      <c r="DY25" s="141"/>
      <c r="DZ25" s="141"/>
      <c r="EA25" s="141"/>
      <c r="EB25" s="141"/>
      <c r="EC25" s="141"/>
      <c r="ED25" s="140">
        <f t="shared" si="3"/>
        <v>0</v>
      </c>
      <c r="EE25" s="141"/>
      <c r="EF25" s="141"/>
      <c r="EG25" s="141"/>
      <c r="EH25" s="141"/>
      <c r="EI25" s="141"/>
      <c r="EJ25" s="141"/>
      <c r="EK25" s="141"/>
      <c r="EL25" s="142" t="s">
        <v>559</v>
      </c>
      <c r="EM25" s="143"/>
      <c r="EN25" s="143"/>
      <c r="EO25" s="143"/>
      <c r="EP25" s="143"/>
      <c r="EQ25" s="143"/>
      <c r="IR25" s="43">
        <f t="shared" si="4"/>
        <v>0</v>
      </c>
      <c r="IS25" s="43">
        <f t="shared" si="5"/>
        <v>0</v>
      </c>
    </row>
    <row r="26" spans="1:253" ht="12.75">
      <c r="A26" s="142" t="s">
        <v>17</v>
      </c>
      <c r="B26" s="143"/>
      <c r="C26" s="142" t="s">
        <v>198</v>
      </c>
      <c r="D26" s="143"/>
      <c r="E26" s="143"/>
      <c r="F26" s="142" t="s">
        <v>213</v>
      </c>
      <c r="G26" s="143"/>
      <c r="H26" s="143"/>
      <c r="I26" s="143"/>
      <c r="J26" s="143"/>
      <c r="K26" s="143"/>
      <c r="L26" s="142" t="s">
        <v>361</v>
      </c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2" t="s">
        <v>529</v>
      </c>
      <c r="AT26" s="143"/>
      <c r="AU26" s="142" t="s">
        <v>616</v>
      </c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0">
        <f>'Výkaz výměr'!F27</f>
        <v>1415.02</v>
      </c>
      <c r="CL26" s="141"/>
      <c r="CM26" s="141"/>
      <c r="CN26" s="141"/>
      <c r="CO26" s="141"/>
      <c r="CP26" s="140">
        <f>'Výkaz výměr'!G27</f>
        <v>0</v>
      </c>
      <c r="CQ26" s="141"/>
      <c r="CR26" s="141"/>
      <c r="CS26" s="141"/>
      <c r="CT26" s="141"/>
      <c r="CU26" s="141"/>
      <c r="CV26" s="141"/>
      <c r="CW26" s="141"/>
      <c r="CX26" s="140">
        <f t="shared" si="0"/>
        <v>0</v>
      </c>
      <c r="CY26" s="141"/>
      <c r="CZ26" s="141"/>
      <c r="DA26" s="141"/>
      <c r="DB26" s="141"/>
      <c r="DC26" s="141"/>
      <c r="DD26" s="141"/>
      <c r="DE26" s="141"/>
      <c r="DF26" s="140">
        <f t="shared" si="1"/>
        <v>0</v>
      </c>
      <c r="DG26" s="141"/>
      <c r="DH26" s="141"/>
      <c r="DI26" s="141"/>
      <c r="DJ26" s="141"/>
      <c r="DK26" s="141"/>
      <c r="DL26" s="141"/>
      <c r="DM26" s="141"/>
      <c r="DN26" s="140">
        <f t="shared" si="2"/>
        <v>0</v>
      </c>
      <c r="DO26" s="141"/>
      <c r="DP26" s="141"/>
      <c r="DQ26" s="141"/>
      <c r="DR26" s="141"/>
      <c r="DS26" s="141"/>
      <c r="DT26" s="141"/>
      <c r="DU26" s="141"/>
      <c r="DV26" s="140">
        <f>'Výkaz výměr'!L27</f>
        <v>0</v>
      </c>
      <c r="DW26" s="141"/>
      <c r="DX26" s="141"/>
      <c r="DY26" s="141"/>
      <c r="DZ26" s="141"/>
      <c r="EA26" s="141"/>
      <c r="EB26" s="141"/>
      <c r="EC26" s="141"/>
      <c r="ED26" s="140">
        <f t="shared" si="3"/>
        <v>0</v>
      </c>
      <c r="EE26" s="141"/>
      <c r="EF26" s="141"/>
      <c r="EG26" s="141"/>
      <c r="EH26" s="141"/>
      <c r="EI26" s="141"/>
      <c r="EJ26" s="141"/>
      <c r="EK26" s="141"/>
      <c r="EL26" s="142" t="s">
        <v>559</v>
      </c>
      <c r="EM26" s="143"/>
      <c r="EN26" s="143"/>
      <c r="EO26" s="143"/>
      <c r="EP26" s="143"/>
      <c r="EQ26" s="143"/>
      <c r="IR26" s="43">
        <f t="shared" si="4"/>
        <v>0</v>
      </c>
      <c r="IS26" s="43">
        <f t="shared" si="5"/>
        <v>0</v>
      </c>
    </row>
    <row r="27" spans="1:253" ht="12.75">
      <c r="A27" s="142" t="s">
        <v>18</v>
      </c>
      <c r="B27" s="143"/>
      <c r="C27" s="142" t="s">
        <v>198</v>
      </c>
      <c r="D27" s="143"/>
      <c r="E27" s="143"/>
      <c r="F27" s="142" t="s">
        <v>214</v>
      </c>
      <c r="G27" s="143"/>
      <c r="H27" s="143"/>
      <c r="I27" s="143"/>
      <c r="J27" s="143"/>
      <c r="K27" s="143"/>
      <c r="L27" s="142" t="s">
        <v>362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2" t="s">
        <v>530</v>
      </c>
      <c r="AT27" s="143"/>
      <c r="AU27" s="142" t="s">
        <v>617</v>
      </c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0">
        <f>'Výkaz výměr'!F28</f>
        <v>630</v>
      </c>
      <c r="CL27" s="141"/>
      <c r="CM27" s="141"/>
      <c r="CN27" s="141"/>
      <c r="CO27" s="141"/>
      <c r="CP27" s="140">
        <f>'Výkaz výměr'!G28</f>
        <v>0</v>
      </c>
      <c r="CQ27" s="141"/>
      <c r="CR27" s="141"/>
      <c r="CS27" s="141"/>
      <c r="CT27" s="141"/>
      <c r="CU27" s="141"/>
      <c r="CV27" s="141"/>
      <c r="CW27" s="141"/>
      <c r="CX27" s="140">
        <f t="shared" si="0"/>
        <v>0</v>
      </c>
      <c r="CY27" s="141"/>
      <c r="CZ27" s="141"/>
      <c r="DA27" s="141"/>
      <c r="DB27" s="141"/>
      <c r="DC27" s="141"/>
      <c r="DD27" s="141"/>
      <c r="DE27" s="141"/>
      <c r="DF27" s="140">
        <f t="shared" si="1"/>
        <v>0</v>
      </c>
      <c r="DG27" s="141"/>
      <c r="DH27" s="141"/>
      <c r="DI27" s="141"/>
      <c r="DJ27" s="141"/>
      <c r="DK27" s="141"/>
      <c r="DL27" s="141"/>
      <c r="DM27" s="141"/>
      <c r="DN27" s="140">
        <f t="shared" si="2"/>
        <v>0</v>
      </c>
      <c r="DO27" s="141"/>
      <c r="DP27" s="141"/>
      <c r="DQ27" s="141"/>
      <c r="DR27" s="141"/>
      <c r="DS27" s="141"/>
      <c r="DT27" s="141"/>
      <c r="DU27" s="141"/>
      <c r="DV27" s="140">
        <f>'Výkaz výměr'!L28</f>
        <v>0</v>
      </c>
      <c r="DW27" s="141"/>
      <c r="DX27" s="141"/>
      <c r="DY27" s="141"/>
      <c r="DZ27" s="141"/>
      <c r="EA27" s="141"/>
      <c r="EB27" s="141"/>
      <c r="EC27" s="141"/>
      <c r="ED27" s="140">
        <f t="shared" si="3"/>
        <v>0</v>
      </c>
      <c r="EE27" s="141"/>
      <c r="EF27" s="141"/>
      <c r="EG27" s="141"/>
      <c r="EH27" s="141"/>
      <c r="EI27" s="141"/>
      <c r="EJ27" s="141"/>
      <c r="EK27" s="141"/>
      <c r="EL27" s="142" t="s">
        <v>559</v>
      </c>
      <c r="EM27" s="143"/>
      <c r="EN27" s="143"/>
      <c r="EO27" s="143"/>
      <c r="EP27" s="143"/>
      <c r="EQ27" s="143"/>
      <c r="IR27" s="43">
        <f t="shared" si="4"/>
        <v>0</v>
      </c>
      <c r="IS27" s="43">
        <f t="shared" si="5"/>
        <v>0</v>
      </c>
    </row>
    <row r="28" spans="1:253" ht="12.75">
      <c r="A28" s="142" t="s">
        <v>19</v>
      </c>
      <c r="B28" s="143"/>
      <c r="C28" s="142" t="s">
        <v>198</v>
      </c>
      <c r="D28" s="143"/>
      <c r="E28" s="143"/>
      <c r="F28" s="142" t="s">
        <v>215</v>
      </c>
      <c r="G28" s="143"/>
      <c r="H28" s="143"/>
      <c r="I28" s="143"/>
      <c r="J28" s="143"/>
      <c r="K28" s="143"/>
      <c r="L28" s="142" t="s">
        <v>363</v>
      </c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2" t="s">
        <v>530</v>
      </c>
      <c r="AT28" s="143"/>
      <c r="AU28" s="142" t="s">
        <v>618</v>
      </c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0">
        <f>'Výkaz výměr'!F29</f>
        <v>243.6</v>
      </c>
      <c r="CL28" s="141"/>
      <c r="CM28" s="141"/>
      <c r="CN28" s="141"/>
      <c r="CO28" s="141"/>
      <c r="CP28" s="140">
        <f>'Výkaz výměr'!G29</f>
        <v>0</v>
      </c>
      <c r="CQ28" s="141"/>
      <c r="CR28" s="141"/>
      <c r="CS28" s="141"/>
      <c r="CT28" s="141"/>
      <c r="CU28" s="141"/>
      <c r="CV28" s="141"/>
      <c r="CW28" s="141"/>
      <c r="CX28" s="140">
        <f t="shared" si="0"/>
        <v>0</v>
      </c>
      <c r="CY28" s="141"/>
      <c r="CZ28" s="141"/>
      <c r="DA28" s="141"/>
      <c r="DB28" s="141"/>
      <c r="DC28" s="141"/>
      <c r="DD28" s="141"/>
      <c r="DE28" s="141"/>
      <c r="DF28" s="140">
        <f t="shared" si="1"/>
        <v>0</v>
      </c>
      <c r="DG28" s="141"/>
      <c r="DH28" s="141"/>
      <c r="DI28" s="141"/>
      <c r="DJ28" s="141"/>
      <c r="DK28" s="141"/>
      <c r="DL28" s="141"/>
      <c r="DM28" s="141"/>
      <c r="DN28" s="140">
        <f t="shared" si="2"/>
        <v>0</v>
      </c>
      <c r="DO28" s="141"/>
      <c r="DP28" s="141"/>
      <c r="DQ28" s="141"/>
      <c r="DR28" s="141"/>
      <c r="DS28" s="141"/>
      <c r="DT28" s="141"/>
      <c r="DU28" s="141"/>
      <c r="DV28" s="140">
        <f>'Výkaz výměr'!L29</f>
        <v>0</v>
      </c>
      <c r="DW28" s="141"/>
      <c r="DX28" s="141"/>
      <c r="DY28" s="141"/>
      <c r="DZ28" s="141"/>
      <c r="EA28" s="141"/>
      <c r="EB28" s="141"/>
      <c r="EC28" s="141"/>
      <c r="ED28" s="140">
        <f t="shared" si="3"/>
        <v>0</v>
      </c>
      <c r="EE28" s="141"/>
      <c r="EF28" s="141"/>
      <c r="EG28" s="141"/>
      <c r="EH28" s="141"/>
      <c r="EI28" s="141"/>
      <c r="EJ28" s="141"/>
      <c r="EK28" s="141"/>
      <c r="EL28" s="142" t="s">
        <v>559</v>
      </c>
      <c r="EM28" s="143"/>
      <c r="EN28" s="143"/>
      <c r="EO28" s="143"/>
      <c r="EP28" s="143"/>
      <c r="EQ28" s="143"/>
      <c r="IR28" s="43">
        <f t="shared" si="4"/>
        <v>0</v>
      </c>
      <c r="IS28" s="43">
        <f t="shared" si="5"/>
        <v>0</v>
      </c>
    </row>
    <row r="29" spans="1:253" ht="12.75">
      <c r="A29" s="142" t="s">
        <v>20</v>
      </c>
      <c r="B29" s="143"/>
      <c r="C29" s="142" t="s">
        <v>198</v>
      </c>
      <c r="D29" s="143"/>
      <c r="E29" s="143"/>
      <c r="F29" s="142" t="s">
        <v>216</v>
      </c>
      <c r="G29" s="143"/>
      <c r="H29" s="143"/>
      <c r="I29" s="143"/>
      <c r="J29" s="143"/>
      <c r="K29" s="143"/>
      <c r="L29" s="142" t="s">
        <v>364</v>
      </c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2" t="s">
        <v>530</v>
      </c>
      <c r="AT29" s="143"/>
      <c r="AU29" s="142" t="s">
        <v>619</v>
      </c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0">
        <f>'Výkaz výměr'!F30</f>
        <v>34.8</v>
      </c>
      <c r="CL29" s="141"/>
      <c r="CM29" s="141"/>
      <c r="CN29" s="141"/>
      <c r="CO29" s="141"/>
      <c r="CP29" s="140">
        <f>'Výkaz výměr'!G30</f>
        <v>0</v>
      </c>
      <c r="CQ29" s="141"/>
      <c r="CR29" s="141"/>
      <c r="CS29" s="141"/>
      <c r="CT29" s="141"/>
      <c r="CU29" s="141"/>
      <c r="CV29" s="141"/>
      <c r="CW29" s="141"/>
      <c r="CX29" s="140">
        <f t="shared" si="0"/>
        <v>0</v>
      </c>
      <c r="CY29" s="141"/>
      <c r="CZ29" s="141"/>
      <c r="DA29" s="141"/>
      <c r="DB29" s="141"/>
      <c r="DC29" s="141"/>
      <c r="DD29" s="141"/>
      <c r="DE29" s="141"/>
      <c r="DF29" s="140">
        <f t="shared" si="1"/>
        <v>0</v>
      </c>
      <c r="DG29" s="141"/>
      <c r="DH29" s="141"/>
      <c r="DI29" s="141"/>
      <c r="DJ29" s="141"/>
      <c r="DK29" s="141"/>
      <c r="DL29" s="141"/>
      <c r="DM29" s="141"/>
      <c r="DN29" s="140">
        <f t="shared" si="2"/>
        <v>0</v>
      </c>
      <c r="DO29" s="141"/>
      <c r="DP29" s="141"/>
      <c r="DQ29" s="141"/>
      <c r="DR29" s="141"/>
      <c r="DS29" s="141"/>
      <c r="DT29" s="141"/>
      <c r="DU29" s="141"/>
      <c r="DV29" s="140">
        <f>'Výkaz výměr'!L30</f>
        <v>0</v>
      </c>
      <c r="DW29" s="141"/>
      <c r="DX29" s="141"/>
      <c r="DY29" s="141"/>
      <c r="DZ29" s="141"/>
      <c r="EA29" s="141"/>
      <c r="EB29" s="141"/>
      <c r="EC29" s="141"/>
      <c r="ED29" s="140">
        <f t="shared" si="3"/>
        <v>0</v>
      </c>
      <c r="EE29" s="141"/>
      <c r="EF29" s="141"/>
      <c r="EG29" s="141"/>
      <c r="EH29" s="141"/>
      <c r="EI29" s="141"/>
      <c r="EJ29" s="141"/>
      <c r="EK29" s="141"/>
      <c r="EL29" s="142" t="s">
        <v>559</v>
      </c>
      <c r="EM29" s="143"/>
      <c r="EN29" s="143"/>
      <c r="EO29" s="143"/>
      <c r="EP29" s="143"/>
      <c r="EQ29" s="143"/>
      <c r="IR29" s="43">
        <f t="shared" si="4"/>
        <v>0</v>
      </c>
      <c r="IS29" s="43">
        <f t="shared" si="5"/>
        <v>0</v>
      </c>
    </row>
    <row r="30" spans="1:253" ht="12.75">
      <c r="A30" s="142" t="s">
        <v>21</v>
      </c>
      <c r="B30" s="143"/>
      <c r="C30" s="142" t="s">
        <v>198</v>
      </c>
      <c r="D30" s="143"/>
      <c r="E30" s="143"/>
      <c r="F30" s="142" t="s">
        <v>217</v>
      </c>
      <c r="G30" s="143"/>
      <c r="H30" s="143"/>
      <c r="I30" s="143"/>
      <c r="J30" s="143"/>
      <c r="K30" s="143"/>
      <c r="L30" s="142" t="s">
        <v>365</v>
      </c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2" t="s">
        <v>530</v>
      </c>
      <c r="AT30" s="143"/>
      <c r="AU30" s="142" t="s">
        <v>619</v>
      </c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0">
        <f>'Výkaz výměr'!F31</f>
        <v>34.8</v>
      </c>
      <c r="CL30" s="141"/>
      <c r="CM30" s="141"/>
      <c r="CN30" s="141"/>
      <c r="CO30" s="141"/>
      <c r="CP30" s="140">
        <f>'Výkaz výměr'!G31</f>
        <v>0</v>
      </c>
      <c r="CQ30" s="141"/>
      <c r="CR30" s="141"/>
      <c r="CS30" s="141"/>
      <c r="CT30" s="141"/>
      <c r="CU30" s="141"/>
      <c r="CV30" s="141"/>
      <c r="CW30" s="141"/>
      <c r="CX30" s="140">
        <f t="shared" si="0"/>
        <v>0</v>
      </c>
      <c r="CY30" s="141"/>
      <c r="CZ30" s="141"/>
      <c r="DA30" s="141"/>
      <c r="DB30" s="141"/>
      <c r="DC30" s="141"/>
      <c r="DD30" s="141"/>
      <c r="DE30" s="141"/>
      <c r="DF30" s="140">
        <f t="shared" si="1"/>
        <v>0</v>
      </c>
      <c r="DG30" s="141"/>
      <c r="DH30" s="141"/>
      <c r="DI30" s="141"/>
      <c r="DJ30" s="141"/>
      <c r="DK30" s="141"/>
      <c r="DL30" s="141"/>
      <c r="DM30" s="141"/>
      <c r="DN30" s="140">
        <f t="shared" si="2"/>
        <v>0</v>
      </c>
      <c r="DO30" s="141"/>
      <c r="DP30" s="141"/>
      <c r="DQ30" s="141"/>
      <c r="DR30" s="141"/>
      <c r="DS30" s="141"/>
      <c r="DT30" s="141"/>
      <c r="DU30" s="141"/>
      <c r="DV30" s="140">
        <f>'Výkaz výměr'!L31</f>
        <v>0.00816</v>
      </c>
      <c r="DW30" s="141"/>
      <c r="DX30" s="141"/>
      <c r="DY30" s="141"/>
      <c r="DZ30" s="141"/>
      <c r="EA30" s="141"/>
      <c r="EB30" s="141"/>
      <c r="EC30" s="141"/>
      <c r="ED30" s="140">
        <f t="shared" si="3"/>
        <v>0.283968</v>
      </c>
      <c r="EE30" s="141"/>
      <c r="EF30" s="141"/>
      <c r="EG30" s="141"/>
      <c r="EH30" s="141"/>
      <c r="EI30" s="141"/>
      <c r="EJ30" s="141"/>
      <c r="EK30" s="141"/>
      <c r="EL30" s="142" t="s">
        <v>559</v>
      </c>
      <c r="EM30" s="143"/>
      <c r="EN30" s="143"/>
      <c r="EO30" s="143"/>
      <c r="EP30" s="143"/>
      <c r="EQ30" s="143"/>
      <c r="IR30" s="43">
        <f>CP30*0.12037037037037</f>
        <v>0</v>
      </c>
      <c r="IS30" s="43">
        <f>CP30*(1-0.12037037037037)</f>
        <v>0</v>
      </c>
    </row>
    <row r="31" spans="1:253" ht="12.75">
      <c r="A31" s="142" t="s">
        <v>22</v>
      </c>
      <c r="B31" s="143"/>
      <c r="C31" s="142" t="s">
        <v>198</v>
      </c>
      <c r="D31" s="143"/>
      <c r="E31" s="143"/>
      <c r="F31" s="142" t="s">
        <v>218</v>
      </c>
      <c r="G31" s="143"/>
      <c r="H31" s="143"/>
      <c r="I31" s="143"/>
      <c r="J31" s="143"/>
      <c r="K31" s="143"/>
      <c r="L31" s="142" t="s">
        <v>366</v>
      </c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2" t="s">
        <v>530</v>
      </c>
      <c r="AT31" s="143"/>
      <c r="AU31" s="142" t="s">
        <v>620</v>
      </c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0">
        <f>'Výkaz výměr'!F32</f>
        <v>17.4</v>
      </c>
      <c r="CL31" s="141"/>
      <c r="CM31" s="141"/>
      <c r="CN31" s="141"/>
      <c r="CO31" s="141"/>
      <c r="CP31" s="140">
        <f>'Výkaz výměr'!G32</f>
        <v>0</v>
      </c>
      <c r="CQ31" s="141"/>
      <c r="CR31" s="141"/>
      <c r="CS31" s="141"/>
      <c r="CT31" s="141"/>
      <c r="CU31" s="141"/>
      <c r="CV31" s="141"/>
      <c r="CW31" s="141"/>
      <c r="CX31" s="140">
        <f t="shared" si="0"/>
        <v>0</v>
      </c>
      <c r="CY31" s="141"/>
      <c r="CZ31" s="141"/>
      <c r="DA31" s="141"/>
      <c r="DB31" s="141"/>
      <c r="DC31" s="141"/>
      <c r="DD31" s="141"/>
      <c r="DE31" s="141"/>
      <c r="DF31" s="140">
        <f t="shared" si="1"/>
        <v>0</v>
      </c>
      <c r="DG31" s="141"/>
      <c r="DH31" s="141"/>
      <c r="DI31" s="141"/>
      <c r="DJ31" s="141"/>
      <c r="DK31" s="141"/>
      <c r="DL31" s="141"/>
      <c r="DM31" s="141"/>
      <c r="DN31" s="140">
        <f t="shared" si="2"/>
        <v>0</v>
      </c>
      <c r="DO31" s="141"/>
      <c r="DP31" s="141"/>
      <c r="DQ31" s="141"/>
      <c r="DR31" s="141"/>
      <c r="DS31" s="141"/>
      <c r="DT31" s="141"/>
      <c r="DU31" s="141"/>
      <c r="DV31" s="140">
        <f>'Výkaz výměr'!L32</f>
        <v>0.0154</v>
      </c>
      <c r="DW31" s="141"/>
      <c r="DX31" s="141"/>
      <c r="DY31" s="141"/>
      <c r="DZ31" s="141"/>
      <c r="EA31" s="141"/>
      <c r="EB31" s="141"/>
      <c r="EC31" s="141"/>
      <c r="ED31" s="140">
        <f t="shared" si="3"/>
        <v>0.26796</v>
      </c>
      <c r="EE31" s="141"/>
      <c r="EF31" s="141"/>
      <c r="EG31" s="141"/>
      <c r="EH31" s="141"/>
      <c r="EI31" s="141"/>
      <c r="EJ31" s="141"/>
      <c r="EK31" s="141"/>
      <c r="EL31" s="142" t="s">
        <v>559</v>
      </c>
      <c r="EM31" s="143"/>
      <c r="EN31" s="143"/>
      <c r="EO31" s="143"/>
      <c r="EP31" s="143"/>
      <c r="EQ31" s="143"/>
      <c r="IR31" s="43">
        <f>CP31*0.137882534775889</f>
        <v>0</v>
      </c>
      <c r="IS31" s="43">
        <f>CP31*(1-0.137882534775889)</f>
        <v>0</v>
      </c>
    </row>
    <row r="32" spans="1:253" ht="12.75">
      <c r="A32" s="142" t="s">
        <v>23</v>
      </c>
      <c r="B32" s="143"/>
      <c r="C32" s="142" t="s">
        <v>198</v>
      </c>
      <c r="D32" s="143"/>
      <c r="E32" s="143"/>
      <c r="F32" s="142" t="s">
        <v>219</v>
      </c>
      <c r="G32" s="143"/>
      <c r="H32" s="143"/>
      <c r="I32" s="143"/>
      <c r="J32" s="143"/>
      <c r="K32" s="143"/>
      <c r="L32" s="142" t="s">
        <v>367</v>
      </c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2" t="s">
        <v>530</v>
      </c>
      <c r="AT32" s="143"/>
      <c r="AU32" s="142" t="s">
        <v>620</v>
      </c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0">
        <f>'Výkaz výměr'!F33</f>
        <v>17.4</v>
      </c>
      <c r="CL32" s="141"/>
      <c r="CM32" s="141"/>
      <c r="CN32" s="141"/>
      <c r="CO32" s="141"/>
      <c r="CP32" s="140">
        <f>'Výkaz výměr'!G33</f>
        <v>0</v>
      </c>
      <c r="CQ32" s="141"/>
      <c r="CR32" s="141"/>
      <c r="CS32" s="141"/>
      <c r="CT32" s="141"/>
      <c r="CU32" s="141"/>
      <c r="CV32" s="141"/>
      <c r="CW32" s="141"/>
      <c r="CX32" s="140">
        <f t="shared" si="0"/>
        <v>0</v>
      </c>
      <c r="CY32" s="141"/>
      <c r="CZ32" s="141"/>
      <c r="DA32" s="141"/>
      <c r="DB32" s="141"/>
      <c r="DC32" s="141"/>
      <c r="DD32" s="141"/>
      <c r="DE32" s="141"/>
      <c r="DF32" s="140">
        <f t="shared" si="1"/>
        <v>0</v>
      </c>
      <c r="DG32" s="141"/>
      <c r="DH32" s="141"/>
      <c r="DI32" s="141"/>
      <c r="DJ32" s="141"/>
      <c r="DK32" s="141"/>
      <c r="DL32" s="141"/>
      <c r="DM32" s="141"/>
      <c r="DN32" s="140">
        <f t="shared" si="2"/>
        <v>0</v>
      </c>
      <c r="DO32" s="141"/>
      <c r="DP32" s="141"/>
      <c r="DQ32" s="141"/>
      <c r="DR32" s="141"/>
      <c r="DS32" s="141"/>
      <c r="DT32" s="141"/>
      <c r="DU32" s="141"/>
      <c r="DV32" s="140">
        <f>'Výkaz výměr'!L33</f>
        <v>0.01733</v>
      </c>
      <c r="DW32" s="141"/>
      <c r="DX32" s="141"/>
      <c r="DY32" s="141"/>
      <c r="DZ32" s="141"/>
      <c r="EA32" s="141"/>
      <c r="EB32" s="141"/>
      <c r="EC32" s="141"/>
      <c r="ED32" s="140">
        <f t="shared" si="3"/>
        <v>0.301542</v>
      </c>
      <c r="EE32" s="141"/>
      <c r="EF32" s="141"/>
      <c r="EG32" s="141"/>
      <c r="EH32" s="141"/>
      <c r="EI32" s="141"/>
      <c r="EJ32" s="141"/>
      <c r="EK32" s="141"/>
      <c r="EL32" s="142" t="s">
        <v>559</v>
      </c>
      <c r="EM32" s="143"/>
      <c r="EN32" s="143"/>
      <c r="EO32" s="143"/>
      <c r="EP32" s="143"/>
      <c r="EQ32" s="143"/>
      <c r="IR32" s="43">
        <f>CP32*0.111837899543379</f>
        <v>0</v>
      </c>
      <c r="IS32" s="43">
        <f>CP32*(1-0.111837899543379)</f>
        <v>0</v>
      </c>
    </row>
    <row r="33" spans="1:253" ht="12.75">
      <c r="A33" s="142" t="s">
        <v>24</v>
      </c>
      <c r="B33" s="143"/>
      <c r="C33" s="142" t="s">
        <v>198</v>
      </c>
      <c r="D33" s="143"/>
      <c r="E33" s="143"/>
      <c r="F33" s="142" t="s">
        <v>220</v>
      </c>
      <c r="G33" s="143"/>
      <c r="H33" s="143"/>
      <c r="I33" s="143"/>
      <c r="J33" s="143"/>
      <c r="K33" s="143"/>
      <c r="L33" s="142" t="s">
        <v>368</v>
      </c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2" t="s">
        <v>530</v>
      </c>
      <c r="AT33" s="143"/>
      <c r="AU33" s="142" t="s">
        <v>618</v>
      </c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0">
        <f>'Výkaz výměr'!F34</f>
        <v>243.6</v>
      </c>
      <c r="CL33" s="141"/>
      <c r="CM33" s="141"/>
      <c r="CN33" s="141"/>
      <c r="CO33" s="141"/>
      <c r="CP33" s="140">
        <f>'Výkaz výměr'!G34</f>
        <v>0</v>
      </c>
      <c r="CQ33" s="141"/>
      <c r="CR33" s="141"/>
      <c r="CS33" s="141"/>
      <c r="CT33" s="141"/>
      <c r="CU33" s="141"/>
      <c r="CV33" s="141"/>
      <c r="CW33" s="141"/>
      <c r="CX33" s="140">
        <f t="shared" si="0"/>
        <v>0</v>
      </c>
      <c r="CY33" s="141"/>
      <c r="CZ33" s="141"/>
      <c r="DA33" s="141"/>
      <c r="DB33" s="141"/>
      <c r="DC33" s="141"/>
      <c r="DD33" s="141"/>
      <c r="DE33" s="141"/>
      <c r="DF33" s="140">
        <f t="shared" si="1"/>
        <v>0</v>
      </c>
      <c r="DG33" s="141"/>
      <c r="DH33" s="141"/>
      <c r="DI33" s="141"/>
      <c r="DJ33" s="141"/>
      <c r="DK33" s="141"/>
      <c r="DL33" s="141"/>
      <c r="DM33" s="141"/>
      <c r="DN33" s="140">
        <f t="shared" si="2"/>
        <v>0</v>
      </c>
      <c r="DO33" s="141"/>
      <c r="DP33" s="141"/>
      <c r="DQ33" s="141"/>
      <c r="DR33" s="141"/>
      <c r="DS33" s="141"/>
      <c r="DT33" s="141"/>
      <c r="DU33" s="141"/>
      <c r="DV33" s="140">
        <f>'Výkaz výměr'!L34</f>
        <v>0</v>
      </c>
      <c r="DW33" s="141"/>
      <c r="DX33" s="141"/>
      <c r="DY33" s="141"/>
      <c r="DZ33" s="141"/>
      <c r="EA33" s="141"/>
      <c r="EB33" s="141"/>
      <c r="EC33" s="141"/>
      <c r="ED33" s="140">
        <f t="shared" si="3"/>
        <v>0</v>
      </c>
      <c r="EE33" s="141"/>
      <c r="EF33" s="141"/>
      <c r="EG33" s="141"/>
      <c r="EH33" s="141"/>
      <c r="EI33" s="141"/>
      <c r="EJ33" s="141"/>
      <c r="EK33" s="141"/>
      <c r="EL33" s="142" t="s">
        <v>559</v>
      </c>
      <c r="EM33" s="143"/>
      <c r="EN33" s="143"/>
      <c r="EO33" s="143"/>
      <c r="EP33" s="143"/>
      <c r="EQ33" s="143"/>
      <c r="IR33" s="43">
        <f aca="true" t="shared" si="6" ref="IR33:IR43">CP33*0</f>
        <v>0</v>
      </c>
      <c r="IS33" s="43">
        <f aca="true" t="shared" si="7" ref="IS33:IS43">CP33*(1-0)</f>
        <v>0</v>
      </c>
    </row>
    <row r="34" spans="1:253" ht="12.75">
      <c r="A34" s="142" t="s">
        <v>25</v>
      </c>
      <c r="B34" s="143"/>
      <c r="C34" s="142" t="s">
        <v>198</v>
      </c>
      <c r="D34" s="143"/>
      <c r="E34" s="143"/>
      <c r="F34" s="142" t="s">
        <v>221</v>
      </c>
      <c r="G34" s="143"/>
      <c r="H34" s="143"/>
      <c r="I34" s="143"/>
      <c r="J34" s="143"/>
      <c r="K34" s="143"/>
      <c r="L34" s="142" t="s">
        <v>369</v>
      </c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2" t="s">
        <v>530</v>
      </c>
      <c r="AT34" s="143"/>
      <c r="AU34" s="142" t="s">
        <v>619</v>
      </c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0">
        <f>'Výkaz výměr'!F35</f>
        <v>34.8</v>
      </c>
      <c r="CL34" s="141"/>
      <c r="CM34" s="141"/>
      <c r="CN34" s="141"/>
      <c r="CO34" s="141"/>
      <c r="CP34" s="140">
        <f>'Výkaz výměr'!G35</f>
        <v>0</v>
      </c>
      <c r="CQ34" s="141"/>
      <c r="CR34" s="141"/>
      <c r="CS34" s="141"/>
      <c r="CT34" s="141"/>
      <c r="CU34" s="141"/>
      <c r="CV34" s="141"/>
      <c r="CW34" s="141"/>
      <c r="CX34" s="140">
        <f t="shared" si="0"/>
        <v>0</v>
      </c>
      <c r="CY34" s="141"/>
      <c r="CZ34" s="141"/>
      <c r="DA34" s="141"/>
      <c r="DB34" s="141"/>
      <c r="DC34" s="141"/>
      <c r="DD34" s="141"/>
      <c r="DE34" s="141"/>
      <c r="DF34" s="140">
        <f t="shared" si="1"/>
        <v>0</v>
      </c>
      <c r="DG34" s="141"/>
      <c r="DH34" s="141"/>
      <c r="DI34" s="141"/>
      <c r="DJ34" s="141"/>
      <c r="DK34" s="141"/>
      <c r="DL34" s="141"/>
      <c r="DM34" s="141"/>
      <c r="DN34" s="140">
        <f t="shared" si="2"/>
        <v>0</v>
      </c>
      <c r="DO34" s="141"/>
      <c r="DP34" s="141"/>
      <c r="DQ34" s="141"/>
      <c r="DR34" s="141"/>
      <c r="DS34" s="141"/>
      <c r="DT34" s="141"/>
      <c r="DU34" s="141"/>
      <c r="DV34" s="140">
        <f>'Výkaz výměr'!L35</f>
        <v>0</v>
      </c>
      <c r="DW34" s="141"/>
      <c r="DX34" s="141"/>
      <c r="DY34" s="141"/>
      <c r="DZ34" s="141"/>
      <c r="EA34" s="141"/>
      <c r="EB34" s="141"/>
      <c r="EC34" s="141"/>
      <c r="ED34" s="140">
        <f t="shared" si="3"/>
        <v>0</v>
      </c>
      <c r="EE34" s="141"/>
      <c r="EF34" s="141"/>
      <c r="EG34" s="141"/>
      <c r="EH34" s="141"/>
      <c r="EI34" s="141"/>
      <c r="EJ34" s="141"/>
      <c r="EK34" s="141"/>
      <c r="EL34" s="142" t="s">
        <v>559</v>
      </c>
      <c r="EM34" s="143"/>
      <c r="EN34" s="143"/>
      <c r="EO34" s="143"/>
      <c r="EP34" s="143"/>
      <c r="EQ34" s="143"/>
      <c r="IR34" s="43">
        <f t="shared" si="6"/>
        <v>0</v>
      </c>
      <c r="IS34" s="43">
        <f t="shared" si="7"/>
        <v>0</v>
      </c>
    </row>
    <row r="35" spans="1:253" ht="12.75">
      <c r="A35" s="142" t="s">
        <v>26</v>
      </c>
      <c r="B35" s="143"/>
      <c r="C35" s="142" t="s">
        <v>198</v>
      </c>
      <c r="D35" s="143"/>
      <c r="E35" s="143"/>
      <c r="F35" s="142" t="s">
        <v>214</v>
      </c>
      <c r="G35" s="143"/>
      <c r="H35" s="143"/>
      <c r="I35" s="143"/>
      <c r="J35" s="143"/>
      <c r="K35" s="143"/>
      <c r="L35" s="142" t="s">
        <v>370</v>
      </c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2" t="s">
        <v>530</v>
      </c>
      <c r="AT35" s="143"/>
      <c r="AU35" s="142" t="s">
        <v>621</v>
      </c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0">
        <f>'Výkaz výměr'!F36</f>
        <v>348</v>
      </c>
      <c r="CL35" s="141"/>
      <c r="CM35" s="141"/>
      <c r="CN35" s="141"/>
      <c r="CO35" s="141"/>
      <c r="CP35" s="140">
        <f>'Výkaz výměr'!G36</f>
        <v>0</v>
      </c>
      <c r="CQ35" s="141"/>
      <c r="CR35" s="141"/>
      <c r="CS35" s="141"/>
      <c r="CT35" s="141"/>
      <c r="CU35" s="141"/>
      <c r="CV35" s="141"/>
      <c r="CW35" s="141"/>
      <c r="CX35" s="140">
        <f t="shared" si="0"/>
        <v>0</v>
      </c>
      <c r="CY35" s="141"/>
      <c r="CZ35" s="141"/>
      <c r="DA35" s="141"/>
      <c r="DB35" s="141"/>
      <c r="DC35" s="141"/>
      <c r="DD35" s="141"/>
      <c r="DE35" s="141"/>
      <c r="DF35" s="140">
        <f t="shared" si="1"/>
        <v>0</v>
      </c>
      <c r="DG35" s="141"/>
      <c r="DH35" s="141"/>
      <c r="DI35" s="141"/>
      <c r="DJ35" s="141"/>
      <c r="DK35" s="141"/>
      <c r="DL35" s="141"/>
      <c r="DM35" s="141"/>
      <c r="DN35" s="140">
        <f t="shared" si="2"/>
        <v>0</v>
      </c>
      <c r="DO35" s="141"/>
      <c r="DP35" s="141"/>
      <c r="DQ35" s="141"/>
      <c r="DR35" s="141"/>
      <c r="DS35" s="141"/>
      <c r="DT35" s="141"/>
      <c r="DU35" s="141"/>
      <c r="DV35" s="140">
        <f>'Výkaz výměr'!L36</f>
        <v>0</v>
      </c>
      <c r="DW35" s="141"/>
      <c r="DX35" s="141"/>
      <c r="DY35" s="141"/>
      <c r="DZ35" s="141"/>
      <c r="EA35" s="141"/>
      <c r="EB35" s="141"/>
      <c r="EC35" s="141"/>
      <c r="ED35" s="140">
        <f t="shared" si="3"/>
        <v>0</v>
      </c>
      <c r="EE35" s="141"/>
      <c r="EF35" s="141"/>
      <c r="EG35" s="141"/>
      <c r="EH35" s="141"/>
      <c r="EI35" s="141"/>
      <c r="EJ35" s="141"/>
      <c r="EK35" s="141"/>
      <c r="EL35" s="142" t="s">
        <v>559</v>
      </c>
      <c r="EM35" s="143"/>
      <c r="EN35" s="143"/>
      <c r="EO35" s="143"/>
      <c r="EP35" s="143"/>
      <c r="EQ35" s="143"/>
      <c r="IR35" s="43">
        <f t="shared" si="6"/>
        <v>0</v>
      </c>
      <c r="IS35" s="43">
        <f t="shared" si="7"/>
        <v>0</v>
      </c>
    </row>
    <row r="36" spans="1:253" ht="12.75">
      <c r="A36" s="142" t="s">
        <v>27</v>
      </c>
      <c r="B36" s="143"/>
      <c r="C36" s="142" t="s">
        <v>198</v>
      </c>
      <c r="D36" s="143"/>
      <c r="E36" s="143"/>
      <c r="F36" s="142" t="s">
        <v>222</v>
      </c>
      <c r="G36" s="143"/>
      <c r="H36" s="143"/>
      <c r="I36" s="143"/>
      <c r="J36" s="143"/>
      <c r="K36" s="143"/>
      <c r="L36" s="142" t="s">
        <v>371</v>
      </c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2" t="s">
        <v>530</v>
      </c>
      <c r="AT36" s="143"/>
      <c r="AU36" s="142" t="s">
        <v>622</v>
      </c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0">
        <f>'Výkaz výměr'!F37</f>
        <v>27.84</v>
      </c>
      <c r="CL36" s="141"/>
      <c r="CM36" s="141"/>
      <c r="CN36" s="141"/>
      <c r="CO36" s="141"/>
      <c r="CP36" s="140">
        <f>'Výkaz výměr'!G37</f>
        <v>0</v>
      </c>
      <c r="CQ36" s="141"/>
      <c r="CR36" s="141"/>
      <c r="CS36" s="141"/>
      <c r="CT36" s="141"/>
      <c r="CU36" s="141"/>
      <c r="CV36" s="141"/>
      <c r="CW36" s="141"/>
      <c r="CX36" s="140">
        <f t="shared" si="0"/>
        <v>0</v>
      </c>
      <c r="CY36" s="141"/>
      <c r="CZ36" s="141"/>
      <c r="DA36" s="141"/>
      <c r="DB36" s="141"/>
      <c r="DC36" s="141"/>
      <c r="DD36" s="141"/>
      <c r="DE36" s="141"/>
      <c r="DF36" s="140">
        <f t="shared" si="1"/>
        <v>0</v>
      </c>
      <c r="DG36" s="141"/>
      <c r="DH36" s="141"/>
      <c r="DI36" s="141"/>
      <c r="DJ36" s="141"/>
      <c r="DK36" s="141"/>
      <c r="DL36" s="141"/>
      <c r="DM36" s="141"/>
      <c r="DN36" s="140">
        <f t="shared" si="2"/>
        <v>0</v>
      </c>
      <c r="DO36" s="141"/>
      <c r="DP36" s="141"/>
      <c r="DQ36" s="141"/>
      <c r="DR36" s="141"/>
      <c r="DS36" s="141"/>
      <c r="DT36" s="141"/>
      <c r="DU36" s="141"/>
      <c r="DV36" s="140">
        <f>'Výkaz výměr'!L37</f>
        <v>0</v>
      </c>
      <c r="DW36" s="141"/>
      <c r="DX36" s="141"/>
      <c r="DY36" s="141"/>
      <c r="DZ36" s="141"/>
      <c r="EA36" s="141"/>
      <c r="EB36" s="141"/>
      <c r="EC36" s="141"/>
      <c r="ED36" s="140">
        <f t="shared" si="3"/>
        <v>0</v>
      </c>
      <c r="EE36" s="141"/>
      <c r="EF36" s="141"/>
      <c r="EG36" s="141"/>
      <c r="EH36" s="141"/>
      <c r="EI36" s="141"/>
      <c r="EJ36" s="141"/>
      <c r="EK36" s="141"/>
      <c r="EL36" s="142" t="s">
        <v>559</v>
      </c>
      <c r="EM36" s="143"/>
      <c r="EN36" s="143"/>
      <c r="EO36" s="143"/>
      <c r="EP36" s="143"/>
      <c r="EQ36" s="143"/>
      <c r="IR36" s="43">
        <f t="shared" si="6"/>
        <v>0</v>
      </c>
      <c r="IS36" s="43">
        <f t="shared" si="7"/>
        <v>0</v>
      </c>
    </row>
    <row r="37" spans="1:253" ht="12.75">
      <c r="A37" s="142" t="s">
        <v>28</v>
      </c>
      <c r="B37" s="143"/>
      <c r="C37" s="142" t="s">
        <v>198</v>
      </c>
      <c r="D37" s="143"/>
      <c r="E37" s="143"/>
      <c r="F37" s="142" t="s">
        <v>223</v>
      </c>
      <c r="G37" s="143"/>
      <c r="H37" s="143"/>
      <c r="I37" s="143"/>
      <c r="J37" s="143"/>
      <c r="K37" s="143"/>
      <c r="L37" s="142" t="s">
        <v>372</v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2" t="s">
        <v>530</v>
      </c>
      <c r="AT37" s="143"/>
      <c r="AU37" s="142" t="s">
        <v>623</v>
      </c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0">
        <f>'Výkaz výměr'!F38</f>
        <v>17.05</v>
      </c>
      <c r="CL37" s="141"/>
      <c r="CM37" s="141"/>
      <c r="CN37" s="141"/>
      <c r="CO37" s="141"/>
      <c r="CP37" s="140">
        <f>'Výkaz výměr'!G38</f>
        <v>0</v>
      </c>
      <c r="CQ37" s="141"/>
      <c r="CR37" s="141"/>
      <c r="CS37" s="141"/>
      <c r="CT37" s="141"/>
      <c r="CU37" s="141"/>
      <c r="CV37" s="141"/>
      <c r="CW37" s="141"/>
      <c r="CX37" s="140">
        <f t="shared" si="0"/>
        <v>0</v>
      </c>
      <c r="CY37" s="141"/>
      <c r="CZ37" s="141"/>
      <c r="DA37" s="141"/>
      <c r="DB37" s="141"/>
      <c r="DC37" s="141"/>
      <c r="DD37" s="141"/>
      <c r="DE37" s="141"/>
      <c r="DF37" s="140">
        <f t="shared" si="1"/>
        <v>0</v>
      </c>
      <c r="DG37" s="141"/>
      <c r="DH37" s="141"/>
      <c r="DI37" s="141"/>
      <c r="DJ37" s="141"/>
      <c r="DK37" s="141"/>
      <c r="DL37" s="141"/>
      <c r="DM37" s="141"/>
      <c r="DN37" s="140">
        <f t="shared" si="2"/>
        <v>0</v>
      </c>
      <c r="DO37" s="141"/>
      <c r="DP37" s="141"/>
      <c r="DQ37" s="141"/>
      <c r="DR37" s="141"/>
      <c r="DS37" s="141"/>
      <c r="DT37" s="141"/>
      <c r="DU37" s="141"/>
      <c r="DV37" s="140">
        <f>'Výkaz výměr'!L38</f>
        <v>0</v>
      </c>
      <c r="DW37" s="141"/>
      <c r="DX37" s="141"/>
      <c r="DY37" s="141"/>
      <c r="DZ37" s="141"/>
      <c r="EA37" s="141"/>
      <c r="EB37" s="141"/>
      <c r="EC37" s="141"/>
      <c r="ED37" s="140">
        <f t="shared" si="3"/>
        <v>0</v>
      </c>
      <c r="EE37" s="141"/>
      <c r="EF37" s="141"/>
      <c r="EG37" s="141"/>
      <c r="EH37" s="141"/>
      <c r="EI37" s="141"/>
      <c r="EJ37" s="141"/>
      <c r="EK37" s="141"/>
      <c r="EL37" s="142" t="s">
        <v>559</v>
      </c>
      <c r="EM37" s="143"/>
      <c r="EN37" s="143"/>
      <c r="EO37" s="143"/>
      <c r="EP37" s="143"/>
      <c r="EQ37" s="143"/>
      <c r="IR37" s="43">
        <f t="shared" si="6"/>
        <v>0</v>
      </c>
      <c r="IS37" s="43">
        <f t="shared" si="7"/>
        <v>0</v>
      </c>
    </row>
    <row r="38" spans="1:253" ht="12.75">
      <c r="A38" s="142" t="s">
        <v>29</v>
      </c>
      <c r="B38" s="143"/>
      <c r="C38" s="142" t="s">
        <v>198</v>
      </c>
      <c r="D38" s="143"/>
      <c r="E38" s="143"/>
      <c r="F38" s="142" t="s">
        <v>224</v>
      </c>
      <c r="G38" s="143"/>
      <c r="H38" s="143"/>
      <c r="I38" s="143"/>
      <c r="J38" s="143"/>
      <c r="K38" s="143"/>
      <c r="L38" s="142" t="s">
        <v>374</v>
      </c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2" t="s">
        <v>530</v>
      </c>
      <c r="AT38" s="143"/>
      <c r="AU38" s="142" t="s">
        <v>624</v>
      </c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0">
        <f>'Výkaz výměr'!F40</f>
        <v>278.4</v>
      </c>
      <c r="CL38" s="141"/>
      <c r="CM38" s="141"/>
      <c r="CN38" s="141"/>
      <c r="CO38" s="141"/>
      <c r="CP38" s="140">
        <f>'Výkaz výměr'!G40</f>
        <v>0</v>
      </c>
      <c r="CQ38" s="141"/>
      <c r="CR38" s="141"/>
      <c r="CS38" s="141"/>
      <c r="CT38" s="141"/>
      <c r="CU38" s="141"/>
      <c r="CV38" s="141"/>
      <c r="CW38" s="141"/>
      <c r="CX38" s="140">
        <f t="shared" si="0"/>
        <v>0</v>
      </c>
      <c r="CY38" s="141"/>
      <c r="CZ38" s="141"/>
      <c r="DA38" s="141"/>
      <c r="DB38" s="141"/>
      <c r="DC38" s="141"/>
      <c r="DD38" s="141"/>
      <c r="DE38" s="141"/>
      <c r="DF38" s="140">
        <f t="shared" si="1"/>
        <v>0</v>
      </c>
      <c r="DG38" s="141"/>
      <c r="DH38" s="141"/>
      <c r="DI38" s="141"/>
      <c r="DJ38" s="141"/>
      <c r="DK38" s="141"/>
      <c r="DL38" s="141"/>
      <c r="DM38" s="141"/>
      <c r="DN38" s="140">
        <f t="shared" si="2"/>
        <v>0</v>
      </c>
      <c r="DO38" s="141"/>
      <c r="DP38" s="141"/>
      <c r="DQ38" s="141"/>
      <c r="DR38" s="141"/>
      <c r="DS38" s="141"/>
      <c r="DT38" s="141"/>
      <c r="DU38" s="141"/>
      <c r="DV38" s="140">
        <f>'Výkaz výměr'!L40</f>
        <v>0</v>
      </c>
      <c r="DW38" s="141"/>
      <c r="DX38" s="141"/>
      <c r="DY38" s="141"/>
      <c r="DZ38" s="141"/>
      <c r="EA38" s="141"/>
      <c r="EB38" s="141"/>
      <c r="EC38" s="141"/>
      <c r="ED38" s="140">
        <f t="shared" si="3"/>
        <v>0</v>
      </c>
      <c r="EE38" s="141"/>
      <c r="EF38" s="141"/>
      <c r="EG38" s="141"/>
      <c r="EH38" s="141"/>
      <c r="EI38" s="141"/>
      <c r="EJ38" s="141"/>
      <c r="EK38" s="141"/>
      <c r="EL38" s="142" t="s">
        <v>559</v>
      </c>
      <c r="EM38" s="143"/>
      <c r="EN38" s="143"/>
      <c r="EO38" s="143"/>
      <c r="EP38" s="143"/>
      <c r="EQ38" s="143"/>
      <c r="IR38" s="43">
        <f t="shared" si="6"/>
        <v>0</v>
      </c>
      <c r="IS38" s="43">
        <f t="shared" si="7"/>
        <v>0</v>
      </c>
    </row>
    <row r="39" spans="1:253" ht="12.75">
      <c r="A39" s="142" t="s">
        <v>30</v>
      </c>
      <c r="B39" s="143"/>
      <c r="C39" s="142" t="s">
        <v>198</v>
      </c>
      <c r="D39" s="143"/>
      <c r="E39" s="143"/>
      <c r="F39" s="142" t="s">
        <v>225</v>
      </c>
      <c r="G39" s="143"/>
      <c r="H39" s="143"/>
      <c r="I39" s="143"/>
      <c r="J39" s="143"/>
      <c r="K39" s="143"/>
      <c r="L39" s="142" t="s">
        <v>376</v>
      </c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2" t="s">
        <v>530</v>
      </c>
      <c r="AT39" s="143"/>
      <c r="AU39" s="142" t="s">
        <v>625</v>
      </c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0">
        <f>'Výkaz výměr'!F42</f>
        <v>1392</v>
      </c>
      <c r="CL39" s="141"/>
      <c r="CM39" s="141"/>
      <c r="CN39" s="141"/>
      <c r="CO39" s="141"/>
      <c r="CP39" s="140">
        <f>'Výkaz výměr'!G42</f>
        <v>0</v>
      </c>
      <c r="CQ39" s="141"/>
      <c r="CR39" s="141"/>
      <c r="CS39" s="141"/>
      <c r="CT39" s="141"/>
      <c r="CU39" s="141"/>
      <c r="CV39" s="141"/>
      <c r="CW39" s="141"/>
      <c r="CX39" s="140">
        <f t="shared" si="0"/>
        <v>0</v>
      </c>
      <c r="CY39" s="141"/>
      <c r="CZ39" s="141"/>
      <c r="DA39" s="141"/>
      <c r="DB39" s="141"/>
      <c r="DC39" s="141"/>
      <c r="DD39" s="141"/>
      <c r="DE39" s="141"/>
      <c r="DF39" s="140">
        <f t="shared" si="1"/>
        <v>0</v>
      </c>
      <c r="DG39" s="141"/>
      <c r="DH39" s="141"/>
      <c r="DI39" s="141"/>
      <c r="DJ39" s="141"/>
      <c r="DK39" s="141"/>
      <c r="DL39" s="141"/>
      <c r="DM39" s="141"/>
      <c r="DN39" s="140">
        <f t="shared" si="2"/>
        <v>0</v>
      </c>
      <c r="DO39" s="141"/>
      <c r="DP39" s="141"/>
      <c r="DQ39" s="141"/>
      <c r="DR39" s="141"/>
      <c r="DS39" s="141"/>
      <c r="DT39" s="141"/>
      <c r="DU39" s="141"/>
      <c r="DV39" s="140">
        <f>'Výkaz výměr'!L42</f>
        <v>0</v>
      </c>
      <c r="DW39" s="141"/>
      <c r="DX39" s="141"/>
      <c r="DY39" s="141"/>
      <c r="DZ39" s="141"/>
      <c r="EA39" s="141"/>
      <c r="EB39" s="141"/>
      <c r="EC39" s="141"/>
      <c r="ED39" s="140">
        <f t="shared" si="3"/>
        <v>0</v>
      </c>
      <c r="EE39" s="141"/>
      <c r="EF39" s="141"/>
      <c r="EG39" s="141"/>
      <c r="EH39" s="141"/>
      <c r="EI39" s="141"/>
      <c r="EJ39" s="141"/>
      <c r="EK39" s="141"/>
      <c r="EL39" s="142" t="s">
        <v>559</v>
      </c>
      <c r="EM39" s="143"/>
      <c r="EN39" s="143"/>
      <c r="EO39" s="143"/>
      <c r="EP39" s="143"/>
      <c r="EQ39" s="143"/>
      <c r="IR39" s="43">
        <f t="shared" si="6"/>
        <v>0</v>
      </c>
      <c r="IS39" s="43">
        <f t="shared" si="7"/>
        <v>0</v>
      </c>
    </row>
    <row r="40" spans="1:253" ht="12.75">
      <c r="A40" s="142" t="s">
        <v>31</v>
      </c>
      <c r="B40" s="143"/>
      <c r="C40" s="142" t="s">
        <v>198</v>
      </c>
      <c r="D40" s="143"/>
      <c r="E40" s="143"/>
      <c r="F40" s="142" t="s">
        <v>226</v>
      </c>
      <c r="G40" s="143"/>
      <c r="H40" s="143"/>
      <c r="I40" s="143"/>
      <c r="J40" s="143"/>
      <c r="K40" s="143"/>
      <c r="L40" s="142" t="s">
        <v>378</v>
      </c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2" t="s">
        <v>530</v>
      </c>
      <c r="AT40" s="143"/>
      <c r="AU40" s="142" t="s">
        <v>626</v>
      </c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0">
        <f>'Výkaz výměr'!F44</f>
        <v>69.6</v>
      </c>
      <c r="CL40" s="141"/>
      <c r="CM40" s="141"/>
      <c r="CN40" s="141"/>
      <c r="CO40" s="141"/>
      <c r="CP40" s="140">
        <f>'Výkaz výměr'!G44</f>
        <v>0</v>
      </c>
      <c r="CQ40" s="141"/>
      <c r="CR40" s="141"/>
      <c r="CS40" s="141"/>
      <c r="CT40" s="141"/>
      <c r="CU40" s="141"/>
      <c r="CV40" s="141"/>
      <c r="CW40" s="141"/>
      <c r="CX40" s="140">
        <f t="shared" si="0"/>
        <v>0</v>
      </c>
      <c r="CY40" s="141"/>
      <c r="CZ40" s="141"/>
      <c r="DA40" s="141"/>
      <c r="DB40" s="141"/>
      <c r="DC40" s="141"/>
      <c r="DD40" s="141"/>
      <c r="DE40" s="141"/>
      <c r="DF40" s="140">
        <f t="shared" si="1"/>
        <v>0</v>
      </c>
      <c r="DG40" s="141"/>
      <c r="DH40" s="141"/>
      <c r="DI40" s="141"/>
      <c r="DJ40" s="141"/>
      <c r="DK40" s="141"/>
      <c r="DL40" s="141"/>
      <c r="DM40" s="141"/>
      <c r="DN40" s="140">
        <f t="shared" si="2"/>
        <v>0</v>
      </c>
      <c r="DO40" s="141"/>
      <c r="DP40" s="141"/>
      <c r="DQ40" s="141"/>
      <c r="DR40" s="141"/>
      <c r="DS40" s="141"/>
      <c r="DT40" s="141"/>
      <c r="DU40" s="141"/>
      <c r="DV40" s="140">
        <f>'Výkaz výměr'!L44</f>
        <v>0</v>
      </c>
      <c r="DW40" s="141"/>
      <c r="DX40" s="141"/>
      <c r="DY40" s="141"/>
      <c r="DZ40" s="141"/>
      <c r="EA40" s="141"/>
      <c r="EB40" s="141"/>
      <c r="EC40" s="141"/>
      <c r="ED40" s="140">
        <f t="shared" si="3"/>
        <v>0</v>
      </c>
      <c r="EE40" s="141"/>
      <c r="EF40" s="141"/>
      <c r="EG40" s="141"/>
      <c r="EH40" s="141"/>
      <c r="EI40" s="141"/>
      <c r="EJ40" s="141"/>
      <c r="EK40" s="141"/>
      <c r="EL40" s="142" t="s">
        <v>559</v>
      </c>
      <c r="EM40" s="143"/>
      <c r="EN40" s="143"/>
      <c r="EO40" s="143"/>
      <c r="EP40" s="143"/>
      <c r="EQ40" s="143"/>
      <c r="IR40" s="43">
        <f t="shared" si="6"/>
        <v>0</v>
      </c>
      <c r="IS40" s="43">
        <f t="shared" si="7"/>
        <v>0</v>
      </c>
    </row>
    <row r="41" spans="1:253" ht="12.75">
      <c r="A41" s="142" t="s">
        <v>32</v>
      </c>
      <c r="B41" s="143"/>
      <c r="C41" s="142" t="s">
        <v>198</v>
      </c>
      <c r="D41" s="143"/>
      <c r="E41" s="143"/>
      <c r="F41" s="142" t="s">
        <v>227</v>
      </c>
      <c r="G41" s="143"/>
      <c r="H41" s="143"/>
      <c r="I41" s="143"/>
      <c r="J41" s="143"/>
      <c r="K41" s="143"/>
      <c r="L41" s="142" t="s">
        <v>379</v>
      </c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2" t="s">
        <v>530</v>
      </c>
      <c r="AT41" s="143"/>
      <c r="AU41" s="142" t="s">
        <v>627</v>
      </c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0">
        <f>'Výkaz výměr'!F45</f>
        <v>348</v>
      </c>
      <c r="CL41" s="141"/>
      <c r="CM41" s="141"/>
      <c r="CN41" s="141"/>
      <c r="CO41" s="141"/>
      <c r="CP41" s="140">
        <f>'Výkaz výměr'!G45</f>
        <v>0</v>
      </c>
      <c r="CQ41" s="141"/>
      <c r="CR41" s="141"/>
      <c r="CS41" s="141"/>
      <c r="CT41" s="141"/>
      <c r="CU41" s="141"/>
      <c r="CV41" s="141"/>
      <c r="CW41" s="141"/>
      <c r="CX41" s="140">
        <f t="shared" si="0"/>
        <v>0</v>
      </c>
      <c r="CY41" s="141"/>
      <c r="CZ41" s="141"/>
      <c r="DA41" s="141"/>
      <c r="DB41" s="141"/>
      <c r="DC41" s="141"/>
      <c r="DD41" s="141"/>
      <c r="DE41" s="141"/>
      <c r="DF41" s="140">
        <f t="shared" si="1"/>
        <v>0</v>
      </c>
      <c r="DG41" s="141"/>
      <c r="DH41" s="141"/>
      <c r="DI41" s="141"/>
      <c r="DJ41" s="141"/>
      <c r="DK41" s="141"/>
      <c r="DL41" s="141"/>
      <c r="DM41" s="141"/>
      <c r="DN41" s="140">
        <f t="shared" si="2"/>
        <v>0</v>
      </c>
      <c r="DO41" s="141"/>
      <c r="DP41" s="141"/>
      <c r="DQ41" s="141"/>
      <c r="DR41" s="141"/>
      <c r="DS41" s="141"/>
      <c r="DT41" s="141"/>
      <c r="DU41" s="141"/>
      <c r="DV41" s="140">
        <f>'Výkaz výměr'!L45</f>
        <v>0</v>
      </c>
      <c r="DW41" s="141"/>
      <c r="DX41" s="141"/>
      <c r="DY41" s="141"/>
      <c r="DZ41" s="141"/>
      <c r="EA41" s="141"/>
      <c r="EB41" s="141"/>
      <c r="EC41" s="141"/>
      <c r="ED41" s="140">
        <f t="shared" si="3"/>
        <v>0</v>
      </c>
      <c r="EE41" s="141"/>
      <c r="EF41" s="141"/>
      <c r="EG41" s="141"/>
      <c r="EH41" s="141"/>
      <c r="EI41" s="141"/>
      <c r="EJ41" s="141"/>
      <c r="EK41" s="141"/>
      <c r="EL41" s="142" t="s">
        <v>559</v>
      </c>
      <c r="EM41" s="143"/>
      <c r="EN41" s="143"/>
      <c r="EO41" s="143"/>
      <c r="EP41" s="143"/>
      <c r="EQ41" s="143"/>
      <c r="IR41" s="43">
        <f t="shared" si="6"/>
        <v>0</v>
      </c>
      <c r="IS41" s="43">
        <f t="shared" si="7"/>
        <v>0</v>
      </c>
    </row>
    <row r="42" spans="1:253" ht="12.75">
      <c r="A42" s="142" t="s">
        <v>33</v>
      </c>
      <c r="B42" s="143"/>
      <c r="C42" s="142" t="s">
        <v>198</v>
      </c>
      <c r="D42" s="143"/>
      <c r="E42" s="143"/>
      <c r="F42" s="142" t="s">
        <v>228</v>
      </c>
      <c r="G42" s="143"/>
      <c r="H42" s="143"/>
      <c r="I42" s="143"/>
      <c r="J42" s="143"/>
      <c r="K42" s="143"/>
      <c r="L42" s="142" t="s">
        <v>380</v>
      </c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2" t="s">
        <v>530</v>
      </c>
      <c r="AT42" s="143"/>
      <c r="AU42" s="142" t="s">
        <v>628</v>
      </c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0">
        <f>'Výkaz výměr'!F46</f>
        <v>365.05</v>
      </c>
      <c r="CL42" s="141"/>
      <c r="CM42" s="141"/>
      <c r="CN42" s="141"/>
      <c r="CO42" s="141"/>
      <c r="CP42" s="140">
        <f>'Výkaz výměr'!G46</f>
        <v>0</v>
      </c>
      <c r="CQ42" s="141"/>
      <c r="CR42" s="141"/>
      <c r="CS42" s="141"/>
      <c r="CT42" s="141"/>
      <c r="CU42" s="141"/>
      <c r="CV42" s="141"/>
      <c r="CW42" s="141"/>
      <c r="CX42" s="140">
        <f t="shared" si="0"/>
        <v>0</v>
      </c>
      <c r="CY42" s="141"/>
      <c r="CZ42" s="141"/>
      <c r="DA42" s="141"/>
      <c r="DB42" s="141"/>
      <c r="DC42" s="141"/>
      <c r="DD42" s="141"/>
      <c r="DE42" s="141"/>
      <c r="DF42" s="140">
        <f t="shared" si="1"/>
        <v>0</v>
      </c>
      <c r="DG42" s="141"/>
      <c r="DH42" s="141"/>
      <c r="DI42" s="141"/>
      <c r="DJ42" s="141"/>
      <c r="DK42" s="141"/>
      <c r="DL42" s="141"/>
      <c r="DM42" s="141"/>
      <c r="DN42" s="140">
        <f t="shared" si="2"/>
        <v>0</v>
      </c>
      <c r="DO42" s="141"/>
      <c r="DP42" s="141"/>
      <c r="DQ42" s="141"/>
      <c r="DR42" s="141"/>
      <c r="DS42" s="141"/>
      <c r="DT42" s="141"/>
      <c r="DU42" s="141"/>
      <c r="DV42" s="140">
        <f>'Výkaz výměr'!L46</f>
        <v>0</v>
      </c>
      <c r="DW42" s="141"/>
      <c r="DX42" s="141"/>
      <c r="DY42" s="141"/>
      <c r="DZ42" s="141"/>
      <c r="EA42" s="141"/>
      <c r="EB42" s="141"/>
      <c r="EC42" s="141"/>
      <c r="ED42" s="140">
        <f t="shared" si="3"/>
        <v>0</v>
      </c>
      <c r="EE42" s="141"/>
      <c r="EF42" s="141"/>
      <c r="EG42" s="141"/>
      <c r="EH42" s="141"/>
      <c r="EI42" s="141"/>
      <c r="EJ42" s="141"/>
      <c r="EK42" s="141"/>
      <c r="EL42" s="142" t="s">
        <v>559</v>
      </c>
      <c r="EM42" s="143"/>
      <c r="EN42" s="143"/>
      <c r="EO42" s="143"/>
      <c r="EP42" s="143"/>
      <c r="EQ42" s="143"/>
      <c r="IR42" s="43">
        <f t="shared" si="6"/>
        <v>0</v>
      </c>
      <c r="IS42" s="43">
        <f t="shared" si="7"/>
        <v>0</v>
      </c>
    </row>
    <row r="43" spans="1:253" ht="12.75">
      <c r="A43" s="142" t="s">
        <v>34</v>
      </c>
      <c r="B43" s="143"/>
      <c r="C43" s="142" t="s">
        <v>198</v>
      </c>
      <c r="D43" s="143"/>
      <c r="E43" s="143"/>
      <c r="F43" s="142" t="s">
        <v>229</v>
      </c>
      <c r="G43" s="143"/>
      <c r="H43" s="143"/>
      <c r="I43" s="143"/>
      <c r="J43" s="143"/>
      <c r="K43" s="143"/>
      <c r="L43" s="142" t="s">
        <v>381</v>
      </c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2" t="s">
        <v>530</v>
      </c>
      <c r="AT43" s="143"/>
      <c r="AU43" s="142" t="s">
        <v>629</v>
      </c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0">
        <f>'Výkaz výměr'!F47</f>
        <v>77.5</v>
      </c>
      <c r="CL43" s="141"/>
      <c r="CM43" s="141"/>
      <c r="CN43" s="141"/>
      <c r="CO43" s="141"/>
      <c r="CP43" s="140">
        <f>'Výkaz výměr'!G47</f>
        <v>0</v>
      </c>
      <c r="CQ43" s="141"/>
      <c r="CR43" s="141"/>
      <c r="CS43" s="141"/>
      <c r="CT43" s="141"/>
      <c r="CU43" s="141"/>
      <c r="CV43" s="141"/>
      <c r="CW43" s="141"/>
      <c r="CX43" s="140">
        <f t="shared" si="0"/>
        <v>0</v>
      </c>
      <c r="CY43" s="141"/>
      <c r="CZ43" s="141"/>
      <c r="DA43" s="141"/>
      <c r="DB43" s="141"/>
      <c r="DC43" s="141"/>
      <c r="DD43" s="141"/>
      <c r="DE43" s="141"/>
      <c r="DF43" s="140">
        <f t="shared" si="1"/>
        <v>0</v>
      </c>
      <c r="DG43" s="141"/>
      <c r="DH43" s="141"/>
      <c r="DI43" s="141"/>
      <c r="DJ43" s="141"/>
      <c r="DK43" s="141"/>
      <c r="DL43" s="141"/>
      <c r="DM43" s="141"/>
      <c r="DN43" s="140">
        <f t="shared" si="2"/>
        <v>0</v>
      </c>
      <c r="DO43" s="141"/>
      <c r="DP43" s="141"/>
      <c r="DQ43" s="141"/>
      <c r="DR43" s="141"/>
      <c r="DS43" s="141"/>
      <c r="DT43" s="141"/>
      <c r="DU43" s="141"/>
      <c r="DV43" s="140">
        <f>'Výkaz výměr'!L47</f>
        <v>0</v>
      </c>
      <c r="DW43" s="141"/>
      <c r="DX43" s="141"/>
      <c r="DY43" s="141"/>
      <c r="DZ43" s="141"/>
      <c r="EA43" s="141"/>
      <c r="EB43" s="141"/>
      <c r="EC43" s="141"/>
      <c r="ED43" s="140">
        <f t="shared" si="3"/>
        <v>0</v>
      </c>
      <c r="EE43" s="141"/>
      <c r="EF43" s="141"/>
      <c r="EG43" s="141"/>
      <c r="EH43" s="141"/>
      <c r="EI43" s="141"/>
      <c r="EJ43" s="141"/>
      <c r="EK43" s="141"/>
      <c r="EL43" s="142" t="s">
        <v>559</v>
      </c>
      <c r="EM43" s="143"/>
      <c r="EN43" s="143"/>
      <c r="EO43" s="143"/>
      <c r="EP43" s="143"/>
      <c r="EQ43" s="143"/>
      <c r="IR43" s="43">
        <f t="shared" si="6"/>
        <v>0</v>
      </c>
      <c r="IS43" s="43">
        <f t="shared" si="7"/>
        <v>0</v>
      </c>
    </row>
    <row r="44" spans="1:253" ht="12.75">
      <c r="A44" s="142" t="s">
        <v>35</v>
      </c>
      <c r="B44" s="143"/>
      <c r="C44" s="142" t="s">
        <v>198</v>
      </c>
      <c r="D44" s="143"/>
      <c r="E44" s="143"/>
      <c r="F44" s="142" t="s">
        <v>230</v>
      </c>
      <c r="G44" s="143"/>
      <c r="H44" s="143"/>
      <c r="I44" s="143"/>
      <c r="J44" s="143"/>
      <c r="K44" s="143"/>
      <c r="L44" s="142" t="s">
        <v>382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2" t="s">
        <v>526</v>
      </c>
      <c r="AT44" s="143"/>
      <c r="AU44" s="142" t="s">
        <v>630</v>
      </c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0">
        <f>'Výkaz výměr'!F48</f>
        <v>31</v>
      </c>
      <c r="CL44" s="141"/>
      <c r="CM44" s="141"/>
      <c r="CN44" s="141"/>
      <c r="CO44" s="141"/>
      <c r="CP44" s="140">
        <f>'Výkaz výměr'!G48</f>
        <v>0</v>
      </c>
      <c r="CQ44" s="141"/>
      <c r="CR44" s="141"/>
      <c r="CS44" s="141"/>
      <c r="CT44" s="141"/>
      <c r="CU44" s="141"/>
      <c r="CV44" s="141"/>
      <c r="CW44" s="141"/>
      <c r="CX44" s="140">
        <f t="shared" si="0"/>
        <v>0</v>
      </c>
      <c r="CY44" s="141"/>
      <c r="CZ44" s="141"/>
      <c r="DA44" s="141"/>
      <c r="DB44" s="141"/>
      <c r="DC44" s="141"/>
      <c r="DD44" s="141"/>
      <c r="DE44" s="141"/>
      <c r="DF44" s="140">
        <f t="shared" si="1"/>
        <v>0</v>
      </c>
      <c r="DG44" s="141"/>
      <c r="DH44" s="141"/>
      <c r="DI44" s="141"/>
      <c r="DJ44" s="141"/>
      <c r="DK44" s="141"/>
      <c r="DL44" s="141"/>
      <c r="DM44" s="141"/>
      <c r="DN44" s="140">
        <f t="shared" si="2"/>
        <v>0</v>
      </c>
      <c r="DO44" s="141"/>
      <c r="DP44" s="141"/>
      <c r="DQ44" s="141"/>
      <c r="DR44" s="141"/>
      <c r="DS44" s="141"/>
      <c r="DT44" s="141"/>
      <c r="DU44" s="141"/>
      <c r="DV44" s="140">
        <f>'Výkaz výměr'!L48</f>
        <v>0.02478</v>
      </c>
      <c r="DW44" s="141"/>
      <c r="DX44" s="141"/>
      <c r="DY44" s="141"/>
      <c r="DZ44" s="141"/>
      <c r="EA44" s="141"/>
      <c r="EB44" s="141"/>
      <c r="EC44" s="141"/>
      <c r="ED44" s="140">
        <f t="shared" si="3"/>
        <v>0.76818</v>
      </c>
      <c r="EE44" s="141"/>
      <c r="EF44" s="141"/>
      <c r="EG44" s="141"/>
      <c r="EH44" s="141"/>
      <c r="EI44" s="141"/>
      <c r="EJ44" s="141"/>
      <c r="EK44" s="141"/>
      <c r="EL44" s="142" t="s">
        <v>559</v>
      </c>
      <c r="EM44" s="143"/>
      <c r="EN44" s="143"/>
      <c r="EO44" s="143"/>
      <c r="EP44" s="143"/>
      <c r="EQ44" s="143"/>
      <c r="IR44" s="43">
        <f>CP44*0.290787671232877</f>
        <v>0</v>
      </c>
      <c r="IS44" s="43">
        <f>CP44*(1-0.290787671232877)</f>
        <v>0</v>
      </c>
    </row>
    <row r="45" spans="1:253" ht="12.75">
      <c r="A45" s="142" t="s">
        <v>36</v>
      </c>
      <c r="B45" s="143"/>
      <c r="C45" s="142" t="s">
        <v>198</v>
      </c>
      <c r="D45" s="143"/>
      <c r="E45" s="143"/>
      <c r="F45" s="142" t="s">
        <v>231</v>
      </c>
      <c r="G45" s="143"/>
      <c r="H45" s="143"/>
      <c r="I45" s="143"/>
      <c r="J45" s="143"/>
      <c r="K45" s="143"/>
      <c r="L45" s="142" t="s">
        <v>383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2" t="s">
        <v>526</v>
      </c>
      <c r="AT45" s="143"/>
      <c r="AU45" s="142" t="s">
        <v>631</v>
      </c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0">
        <f>'Výkaz výměr'!F49</f>
        <v>20</v>
      </c>
      <c r="CL45" s="141"/>
      <c r="CM45" s="141"/>
      <c r="CN45" s="141"/>
      <c r="CO45" s="141"/>
      <c r="CP45" s="140">
        <f>'Výkaz výměr'!G49</f>
        <v>0</v>
      </c>
      <c r="CQ45" s="141"/>
      <c r="CR45" s="141"/>
      <c r="CS45" s="141"/>
      <c r="CT45" s="141"/>
      <c r="CU45" s="141"/>
      <c r="CV45" s="141"/>
      <c r="CW45" s="141"/>
      <c r="CX45" s="140">
        <f t="shared" si="0"/>
        <v>0</v>
      </c>
      <c r="CY45" s="141"/>
      <c r="CZ45" s="141"/>
      <c r="DA45" s="141"/>
      <c r="DB45" s="141"/>
      <c r="DC45" s="141"/>
      <c r="DD45" s="141"/>
      <c r="DE45" s="141"/>
      <c r="DF45" s="140">
        <f t="shared" si="1"/>
        <v>0</v>
      </c>
      <c r="DG45" s="141"/>
      <c r="DH45" s="141"/>
      <c r="DI45" s="141"/>
      <c r="DJ45" s="141"/>
      <c r="DK45" s="141"/>
      <c r="DL45" s="141"/>
      <c r="DM45" s="141"/>
      <c r="DN45" s="140">
        <f t="shared" si="2"/>
        <v>0</v>
      </c>
      <c r="DO45" s="141"/>
      <c r="DP45" s="141"/>
      <c r="DQ45" s="141"/>
      <c r="DR45" s="141"/>
      <c r="DS45" s="141"/>
      <c r="DT45" s="141"/>
      <c r="DU45" s="141"/>
      <c r="DV45" s="140">
        <f>'Výkaz výměr'!L49</f>
        <v>0.01271</v>
      </c>
      <c r="DW45" s="141"/>
      <c r="DX45" s="141"/>
      <c r="DY45" s="141"/>
      <c r="DZ45" s="141"/>
      <c r="EA45" s="141"/>
      <c r="EB45" s="141"/>
      <c r="EC45" s="141"/>
      <c r="ED45" s="140">
        <f t="shared" si="3"/>
        <v>0.25420000000000004</v>
      </c>
      <c r="EE45" s="141"/>
      <c r="EF45" s="141"/>
      <c r="EG45" s="141"/>
      <c r="EH45" s="141"/>
      <c r="EI45" s="141"/>
      <c r="EJ45" s="141"/>
      <c r="EK45" s="141"/>
      <c r="EL45" s="142" t="s">
        <v>559</v>
      </c>
      <c r="EM45" s="143"/>
      <c r="EN45" s="143"/>
      <c r="EO45" s="143"/>
      <c r="EP45" s="143"/>
      <c r="EQ45" s="143"/>
      <c r="IR45" s="43">
        <f>CP45*0.25712888484174</f>
        <v>0</v>
      </c>
      <c r="IS45" s="43">
        <f>CP45*(1-0.25712888484174)</f>
        <v>0</v>
      </c>
    </row>
    <row r="46" spans="1:253" ht="12.75">
      <c r="A46" s="142" t="s">
        <v>37</v>
      </c>
      <c r="B46" s="143"/>
      <c r="C46" s="142" t="s">
        <v>198</v>
      </c>
      <c r="D46" s="143"/>
      <c r="E46" s="143"/>
      <c r="F46" s="142" t="s">
        <v>232</v>
      </c>
      <c r="G46" s="143"/>
      <c r="H46" s="143"/>
      <c r="I46" s="143"/>
      <c r="J46" s="143"/>
      <c r="K46" s="143"/>
      <c r="L46" s="142" t="s">
        <v>384</v>
      </c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2" t="s">
        <v>526</v>
      </c>
      <c r="AT46" s="143"/>
      <c r="AU46" s="142" t="s">
        <v>632</v>
      </c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0">
        <f>'Výkaz výměr'!F50</f>
        <v>20</v>
      </c>
      <c r="CL46" s="141"/>
      <c r="CM46" s="141"/>
      <c r="CN46" s="141"/>
      <c r="CO46" s="141"/>
      <c r="CP46" s="140">
        <f>'Výkaz výměr'!G50</f>
        <v>0</v>
      </c>
      <c r="CQ46" s="141"/>
      <c r="CR46" s="141"/>
      <c r="CS46" s="141"/>
      <c r="CT46" s="141"/>
      <c r="CU46" s="141"/>
      <c r="CV46" s="141"/>
      <c r="CW46" s="141"/>
      <c r="CX46" s="140">
        <f t="shared" si="0"/>
        <v>0</v>
      </c>
      <c r="CY46" s="141"/>
      <c r="CZ46" s="141"/>
      <c r="DA46" s="141"/>
      <c r="DB46" s="141"/>
      <c r="DC46" s="141"/>
      <c r="DD46" s="141"/>
      <c r="DE46" s="141"/>
      <c r="DF46" s="140">
        <f t="shared" si="1"/>
        <v>0</v>
      </c>
      <c r="DG46" s="141"/>
      <c r="DH46" s="141"/>
      <c r="DI46" s="141"/>
      <c r="DJ46" s="141"/>
      <c r="DK46" s="141"/>
      <c r="DL46" s="141"/>
      <c r="DM46" s="141"/>
      <c r="DN46" s="140">
        <f t="shared" si="2"/>
        <v>0</v>
      </c>
      <c r="DO46" s="141"/>
      <c r="DP46" s="141"/>
      <c r="DQ46" s="141"/>
      <c r="DR46" s="141"/>
      <c r="DS46" s="141"/>
      <c r="DT46" s="141"/>
      <c r="DU46" s="141"/>
      <c r="DV46" s="140">
        <f>'Výkaz výměr'!L50</f>
        <v>0.0107</v>
      </c>
      <c r="DW46" s="141"/>
      <c r="DX46" s="141"/>
      <c r="DY46" s="141"/>
      <c r="DZ46" s="141"/>
      <c r="EA46" s="141"/>
      <c r="EB46" s="141"/>
      <c r="EC46" s="141"/>
      <c r="ED46" s="140">
        <f t="shared" si="3"/>
        <v>0.214</v>
      </c>
      <c r="EE46" s="141"/>
      <c r="EF46" s="141"/>
      <c r="EG46" s="141"/>
      <c r="EH46" s="141"/>
      <c r="EI46" s="141"/>
      <c r="EJ46" s="141"/>
      <c r="EK46" s="141"/>
      <c r="EL46" s="142" t="s">
        <v>559</v>
      </c>
      <c r="EM46" s="143"/>
      <c r="EN46" s="143"/>
      <c r="EO46" s="143"/>
      <c r="EP46" s="143"/>
      <c r="EQ46" s="143"/>
      <c r="IR46" s="43">
        <f>CP46*0.270031612223393</f>
        <v>0</v>
      </c>
      <c r="IS46" s="43">
        <f>CP46*(1-0.270031612223393)</f>
        <v>0</v>
      </c>
    </row>
    <row r="47" spans="1:253" ht="12.75">
      <c r="A47" s="142" t="s">
        <v>38</v>
      </c>
      <c r="B47" s="143"/>
      <c r="C47" s="142" t="s">
        <v>198</v>
      </c>
      <c r="D47" s="143"/>
      <c r="E47" s="143"/>
      <c r="F47" s="142" t="s">
        <v>233</v>
      </c>
      <c r="G47" s="143"/>
      <c r="H47" s="143"/>
      <c r="I47" s="143"/>
      <c r="J47" s="143"/>
      <c r="K47" s="143"/>
      <c r="L47" s="142" t="s">
        <v>385</v>
      </c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2" t="s">
        <v>531</v>
      </c>
      <c r="AT47" s="143"/>
      <c r="AU47" s="142" t="s">
        <v>633</v>
      </c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0">
        <f>'Výkaz výměr'!F51</f>
        <v>22.7375</v>
      </c>
      <c r="CL47" s="141"/>
      <c r="CM47" s="141"/>
      <c r="CN47" s="141"/>
      <c r="CO47" s="141"/>
      <c r="CP47" s="140">
        <f>'Výkaz výměr'!G51</f>
        <v>0</v>
      </c>
      <c r="CQ47" s="141"/>
      <c r="CR47" s="141"/>
      <c r="CS47" s="141"/>
      <c r="CT47" s="141"/>
      <c r="CU47" s="141"/>
      <c r="CV47" s="141"/>
      <c r="CW47" s="141"/>
      <c r="CX47" s="140">
        <f t="shared" si="0"/>
        <v>0</v>
      </c>
      <c r="CY47" s="141"/>
      <c r="CZ47" s="141"/>
      <c r="DA47" s="141"/>
      <c r="DB47" s="141"/>
      <c r="DC47" s="141"/>
      <c r="DD47" s="141"/>
      <c r="DE47" s="141"/>
      <c r="DF47" s="140">
        <f t="shared" si="1"/>
        <v>0</v>
      </c>
      <c r="DG47" s="141"/>
      <c r="DH47" s="141"/>
      <c r="DI47" s="141"/>
      <c r="DJ47" s="141"/>
      <c r="DK47" s="141"/>
      <c r="DL47" s="141"/>
      <c r="DM47" s="141"/>
      <c r="DN47" s="140">
        <f t="shared" si="2"/>
        <v>0</v>
      </c>
      <c r="DO47" s="141"/>
      <c r="DP47" s="141"/>
      <c r="DQ47" s="141"/>
      <c r="DR47" s="141"/>
      <c r="DS47" s="141"/>
      <c r="DT47" s="141"/>
      <c r="DU47" s="141"/>
      <c r="DV47" s="140">
        <f>'Výkaz výměr'!L51</f>
        <v>0</v>
      </c>
      <c r="DW47" s="141"/>
      <c r="DX47" s="141"/>
      <c r="DY47" s="141"/>
      <c r="DZ47" s="141"/>
      <c r="EA47" s="141"/>
      <c r="EB47" s="141"/>
      <c r="EC47" s="141"/>
      <c r="ED47" s="140">
        <f t="shared" si="3"/>
        <v>0</v>
      </c>
      <c r="EE47" s="141"/>
      <c r="EF47" s="141"/>
      <c r="EG47" s="141"/>
      <c r="EH47" s="141"/>
      <c r="EI47" s="141"/>
      <c r="EJ47" s="141"/>
      <c r="EK47" s="141"/>
      <c r="EL47" s="142" t="s">
        <v>559</v>
      </c>
      <c r="EM47" s="143"/>
      <c r="EN47" s="143"/>
      <c r="EO47" s="143"/>
      <c r="EP47" s="143"/>
      <c r="EQ47" s="143"/>
      <c r="IR47" s="43">
        <f>CP47*0</f>
        <v>0</v>
      </c>
      <c r="IS47" s="43">
        <f>CP47*(1-0)</f>
        <v>0</v>
      </c>
    </row>
    <row r="48" spans="1:253" ht="12.75">
      <c r="A48" s="142" t="s">
        <v>39</v>
      </c>
      <c r="B48" s="143"/>
      <c r="C48" s="142" t="s">
        <v>198</v>
      </c>
      <c r="D48" s="143"/>
      <c r="E48" s="143"/>
      <c r="F48" s="142" t="s">
        <v>234</v>
      </c>
      <c r="G48" s="143"/>
      <c r="H48" s="143"/>
      <c r="I48" s="143"/>
      <c r="J48" s="143"/>
      <c r="K48" s="143"/>
      <c r="L48" s="142" t="s">
        <v>386</v>
      </c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2" t="s">
        <v>532</v>
      </c>
      <c r="AT48" s="143"/>
      <c r="AU48" s="142" t="s">
        <v>634</v>
      </c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0">
        <f>'Výkaz výměr'!F52</f>
        <v>181.9</v>
      </c>
      <c r="CL48" s="141"/>
      <c r="CM48" s="141"/>
      <c r="CN48" s="141"/>
      <c r="CO48" s="141"/>
      <c r="CP48" s="140">
        <f>'Výkaz výměr'!G52</f>
        <v>0</v>
      </c>
      <c r="CQ48" s="141"/>
      <c r="CR48" s="141"/>
      <c r="CS48" s="141"/>
      <c r="CT48" s="141"/>
      <c r="CU48" s="141"/>
      <c r="CV48" s="141"/>
      <c r="CW48" s="141"/>
      <c r="CX48" s="140">
        <f t="shared" si="0"/>
        <v>0</v>
      </c>
      <c r="CY48" s="141"/>
      <c r="CZ48" s="141"/>
      <c r="DA48" s="141"/>
      <c r="DB48" s="141"/>
      <c r="DC48" s="141"/>
      <c r="DD48" s="141"/>
      <c r="DE48" s="141"/>
      <c r="DF48" s="140">
        <f t="shared" si="1"/>
        <v>0</v>
      </c>
      <c r="DG48" s="141"/>
      <c r="DH48" s="141"/>
      <c r="DI48" s="141"/>
      <c r="DJ48" s="141"/>
      <c r="DK48" s="141"/>
      <c r="DL48" s="141"/>
      <c r="DM48" s="141"/>
      <c r="DN48" s="140">
        <f t="shared" si="2"/>
        <v>0</v>
      </c>
      <c r="DO48" s="141"/>
      <c r="DP48" s="141"/>
      <c r="DQ48" s="141"/>
      <c r="DR48" s="141"/>
      <c r="DS48" s="141"/>
      <c r="DT48" s="141"/>
      <c r="DU48" s="141"/>
      <c r="DV48" s="140">
        <f>'Výkaz výměr'!L52</f>
        <v>0</v>
      </c>
      <c r="DW48" s="141"/>
      <c r="DX48" s="141"/>
      <c r="DY48" s="141"/>
      <c r="DZ48" s="141"/>
      <c r="EA48" s="141"/>
      <c r="EB48" s="141"/>
      <c r="EC48" s="141"/>
      <c r="ED48" s="140">
        <f t="shared" si="3"/>
        <v>0</v>
      </c>
      <c r="EE48" s="141"/>
      <c r="EF48" s="141"/>
      <c r="EG48" s="141"/>
      <c r="EH48" s="141"/>
      <c r="EI48" s="141"/>
      <c r="EJ48" s="141"/>
      <c r="EK48" s="141"/>
      <c r="EL48" s="142" t="s">
        <v>559</v>
      </c>
      <c r="EM48" s="143"/>
      <c r="EN48" s="143"/>
      <c r="EO48" s="143"/>
      <c r="EP48" s="143"/>
      <c r="EQ48" s="143"/>
      <c r="IR48" s="43">
        <f>CP48*0</f>
        <v>0</v>
      </c>
      <c r="IS48" s="43">
        <f>CP48*(1-0)</f>
        <v>0</v>
      </c>
    </row>
    <row r="49" spans="1:147" ht="12.75">
      <c r="A49" s="136" t="s">
        <v>5</v>
      </c>
      <c r="B49" s="137"/>
      <c r="C49" s="136" t="s">
        <v>5</v>
      </c>
      <c r="D49" s="137"/>
      <c r="E49" s="137"/>
      <c r="F49" s="136" t="s">
        <v>8</v>
      </c>
      <c r="G49" s="137"/>
      <c r="H49" s="137"/>
      <c r="I49" s="137"/>
      <c r="J49" s="137"/>
      <c r="K49" s="137"/>
      <c r="L49" s="136" t="s">
        <v>387</v>
      </c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6" t="s">
        <v>5</v>
      </c>
      <c r="AT49" s="137"/>
      <c r="AU49" s="136" t="s">
        <v>5</v>
      </c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 t="s">
        <v>5</v>
      </c>
      <c r="CL49" s="139"/>
      <c r="CM49" s="139"/>
      <c r="CN49" s="139"/>
      <c r="CO49" s="139"/>
      <c r="CP49" s="138" t="s">
        <v>5</v>
      </c>
      <c r="CQ49" s="139"/>
      <c r="CR49" s="139"/>
      <c r="CS49" s="139"/>
      <c r="CT49" s="139"/>
      <c r="CU49" s="139"/>
      <c r="CV49" s="139"/>
      <c r="CW49" s="139"/>
      <c r="CX49" s="134">
        <f>SUM(CX50:CX90)</f>
        <v>0</v>
      </c>
      <c r="CY49" s="135"/>
      <c r="CZ49" s="135"/>
      <c r="DA49" s="135"/>
      <c r="DB49" s="135"/>
      <c r="DC49" s="135"/>
      <c r="DD49" s="135"/>
      <c r="DE49" s="135"/>
      <c r="DF49" s="144">
        <f>SUM(DF50:DF90)</f>
        <v>0</v>
      </c>
      <c r="DG49" s="139"/>
      <c r="DH49" s="139"/>
      <c r="DI49" s="139"/>
      <c r="DJ49" s="139"/>
      <c r="DK49" s="139"/>
      <c r="DL49" s="139"/>
      <c r="DM49" s="139"/>
      <c r="DN49" s="144">
        <f>SUM(DN50:DN90)</f>
        <v>0</v>
      </c>
      <c r="DO49" s="139"/>
      <c r="DP49" s="139"/>
      <c r="DQ49" s="139"/>
      <c r="DR49" s="139"/>
      <c r="DS49" s="139"/>
      <c r="DT49" s="139"/>
      <c r="DU49" s="139"/>
      <c r="DV49" s="138" t="s">
        <v>5</v>
      </c>
      <c r="DW49" s="139"/>
      <c r="DX49" s="139"/>
      <c r="DY49" s="139"/>
      <c r="DZ49" s="139"/>
      <c r="EA49" s="139"/>
      <c r="EB49" s="139"/>
      <c r="EC49" s="139"/>
      <c r="ED49" s="144">
        <f>SUM(ED50:ED90)</f>
        <v>581.7661265199998</v>
      </c>
      <c r="EE49" s="139"/>
      <c r="EF49" s="139"/>
      <c r="EG49" s="139"/>
      <c r="EH49" s="139"/>
      <c r="EI49" s="139"/>
      <c r="EJ49" s="139"/>
      <c r="EK49" s="139"/>
      <c r="EL49" s="136" t="s">
        <v>5</v>
      </c>
      <c r="EM49" s="137"/>
      <c r="EN49" s="137"/>
      <c r="EO49" s="137"/>
      <c r="EP49" s="137"/>
      <c r="EQ49" s="137"/>
    </row>
    <row r="50" spans="1:253" ht="12.75">
      <c r="A50" s="142" t="s">
        <v>40</v>
      </c>
      <c r="B50" s="143"/>
      <c r="C50" s="142" t="s">
        <v>198</v>
      </c>
      <c r="D50" s="143"/>
      <c r="E50" s="143"/>
      <c r="F50" s="142" t="s">
        <v>235</v>
      </c>
      <c r="G50" s="143"/>
      <c r="H50" s="143"/>
      <c r="I50" s="143"/>
      <c r="J50" s="143"/>
      <c r="K50" s="143"/>
      <c r="L50" s="142" t="s">
        <v>388</v>
      </c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2" t="s">
        <v>526</v>
      </c>
      <c r="AT50" s="143"/>
      <c r="AU50" s="142" t="s">
        <v>635</v>
      </c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0">
        <f>'Výkaz výměr'!F54</f>
        <v>247.4</v>
      </c>
      <c r="CL50" s="141"/>
      <c r="CM50" s="141"/>
      <c r="CN50" s="141"/>
      <c r="CO50" s="141"/>
      <c r="CP50" s="140">
        <f>'Výkaz výměr'!G54</f>
        <v>0</v>
      </c>
      <c r="CQ50" s="141"/>
      <c r="CR50" s="141"/>
      <c r="CS50" s="141"/>
      <c r="CT50" s="141"/>
      <c r="CU50" s="141"/>
      <c r="CV50" s="141"/>
      <c r="CW50" s="141"/>
      <c r="CX50" s="140">
        <f>IR50*CK50</f>
        <v>0</v>
      </c>
      <c r="CY50" s="141"/>
      <c r="CZ50" s="141"/>
      <c r="DA50" s="141"/>
      <c r="DB50" s="141"/>
      <c r="DC50" s="141"/>
      <c r="DD50" s="141"/>
      <c r="DE50" s="141"/>
      <c r="DF50" s="140">
        <f>IS50*CK50</f>
        <v>0</v>
      </c>
      <c r="DG50" s="141"/>
      <c r="DH50" s="141"/>
      <c r="DI50" s="141"/>
      <c r="DJ50" s="141"/>
      <c r="DK50" s="141"/>
      <c r="DL50" s="141"/>
      <c r="DM50" s="141"/>
      <c r="DN50" s="140">
        <f>IR50*CK50+IS50*CK50</f>
        <v>0</v>
      </c>
      <c r="DO50" s="141"/>
      <c r="DP50" s="141"/>
      <c r="DQ50" s="141"/>
      <c r="DR50" s="141"/>
      <c r="DS50" s="141"/>
      <c r="DT50" s="141"/>
      <c r="DU50" s="141"/>
      <c r="DV50" s="140">
        <f>'Výkaz výměr'!L54</f>
        <v>0.01492</v>
      </c>
      <c r="DW50" s="141"/>
      <c r="DX50" s="141"/>
      <c r="DY50" s="141"/>
      <c r="DZ50" s="141"/>
      <c r="EA50" s="141"/>
      <c r="EB50" s="141"/>
      <c r="EC50" s="141"/>
      <c r="ED50" s="140">
        <f>DV50*CK50</f>
        <v>3.691208</v>
      </c>
      <c r="EE50" s="141"/>
      <c r="EF50" s="141"/>
      <c r="EG50" s="141"/>
      <c r="EH50" s="141"/>
      <c r="EI50" s="141"/>
      <c r="EJ50" s="141"/>
      <c r="EK50" s="141"/>
      <c r="EL50" s="142" t="s">
        <v>559</v>
      </c>
      <c r="EM50" s="143"/>
      <c r="EN50" s="143"/>
      <c r="EO50" s="143"/>
      <c r="EP50" s="143"/>
      <c r="EQ50" s="143"/>
      <c r="IR50" s="43">
        <f>CP50*0</f>
        <v>0</v>
      </c>
      <c r="IS50" s="43">
        <f>CP50*(1-0)</f>
        <v>0</v>
      </c>
    </row>
    <row r="51" spans="1:253" ht="12.75">
      <c r="A51" s="132" t="s">
        <v>41</v>
      </c>
      <c r="B51" s="133"/>
      <c r="C51" s="132" t="s">
        <v>198</v>
      </c>
      <c r="D51" s="133"/>
      <c r="E51" s="133"/>
      <c r="F51" s="132" t="s">
        <v>236</v>
      </c>
      <c r="G51" s="133"/>
      <c r="H51" s="133"/>
      <c r="I51" s="133"/>
      <c r="J51" s="133"/>
      <c r="K51" s="133"/>
      <c r="L51" s="132" t="s">
        <v>389</v>
      </c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2" t="s">
        <v>526</v>
      </c>
      <c r="AT51" s="133"/>
      <c r="AU51" s="132" t="s">
        <v>636</v>
      </c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0">
        <f>'Výkaz výměr'!F55</f>
        <v>254.822</v>
      </c>
      <c r="CL51" s="131"/>
      <c r="CM51" s="131"/>
      <c r="CN51" s="131"/>
      <c r="CO51" s="131"/>
      <c r="CP51" s="130">
        <f>'Výkaz výměr'!G55</f>
        <v>0</v>
      </c>
      <c r="CQ51" s="131"/>
      <c r="CR51" s="131"/>
      <c r="CS51" s="131"/>
      <c r="CT51" s="131"/>
      <c r="CU51" s="131"/>
      <c r="CV51" s="131"/>
      <c r="CW51" s="131"/>
      <c r="CX51" s="130">
        <f>IR51*CK51</f>
        <v>0</v>
      </c>
      <c r="CY51" s="131"/>
      <c r="CZ51" s="131"/>
      <c r="DA51" s="131"/>
      <c r="DB51" s="131"/>
      <c r="DC51" s="131"/>
      <c r="DD51" s="131"/>
      <c r="DE51" s="131"/>
      <c r="DF51" s="130">
        <f>IS51*CK51</f>
        <v>0</v>
      </c>
      <c r="DG51" s="131"/>
      <c r="DH51" s="131"/>
      <c r="DI51" s="131"/>
      <c r="DJ51" s="131"/>
      <c r="DK51" s="131"/>
      <c r="DL51" s="131"/>
      <c r="DM51" s="131"/>
      <c r="DN51" s="130">
        <f>IR51*CK51+IS51*CK51</f>
        <v>0</v>
      </c>
      <c r="DO51" s="131"/>
      <c r="DP51" s="131"/>
      <c r="DQ51" s="131"/>
      <c r="DR51" s="131"/>
      <c r="DS51" s="131"/>
      <c r="DT51" s="131"/>
      <c r="DU51" s="131"/>
      <c r="DV51" s="130">
        <f>'Výkaz výměr'!L55</f>
        <v>0.00146</v>
      </c>
      <c r="DW51" s="131"/>
      <c r="DX51" s="131"/>
      <c r="DY51" s="131"/>
      <c r="DZ51" s="131"/>
      <c r="EA51" s="131"/>
      <c r="EB51" s="131"/>
      <c r="EC51" s="131"/>
      <c r="ED51" s="130">
        <f>DV51*CK51</f>
        <v>0.37204012</v>
      </c>
      <c r="EE51" s="131"/>
      <c r="EF51" s="131"/>
      <c r="EG51" s="131"/>
      <c r="EH51" s="131"/>
      <c r="EI51" s="131"/>
      <c r="EJ51" s="131"/>
      <c r="EK51" s="131"/>
      <c r="EL51" s="132" t="s">
        <v>559</v>
      </c>
      <c r="EM51" s="133"/>
      <c r="EN51" s="133"/>
      <c r="EO51" s="133"/>
      <c r="EP51" s="133"/>
      <c r="EQ51" s="133"/>
      <c r="IR51" s="42">
        <f>CP51*1</f>
        <v>0</v>
      </c>
      <c r="IS51" s="42">
        <f>CP51*(1-1)</f>
        <v>0</v>
      </c>
    </row>
    <row r="52" spans="1:253" ht="12.75">
      <c r="A52" s="132"/>
      <c r="B52" s="133"/>
      <c r="C52" s="132"/>
      <c r="D52" s="133"/>
      <c r="E52" s="133"/>
      <c r="F52" s="132"/>
      <c r="G52" s="133"/>
      <c r="H52" s="133"/>
      <c r="I52" s="133"/>
      <c r="J52" s="133"/>
      <c r="K52" s="133"/>
      <c r="L52" s="132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2"/>
      <c r="AT52" s="133"/>
      <c r="AU52" s="132" t="s">
        <v>637</v>
      </c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0">
        <v>7.422</v>
      </c>
      <c r="CL52" s="131"/>
      <c r="CM52" s="131"/>
      <c r="CN52" s="131"/>
      <c r="CO52" s="131"/>
      <c r="CP52" s="130">
        <f>'Výkaz výměr'!G55</f>
        <v>0</v>
      </c>
      <c r="CQ52" s="131"/>
      <c r="CR52" s="131"/>
      <c r="CS52" s="131"/>
      <c r="CT52" s="131"/>
      <c r="CU52" s="131"/>
      <c r="CV52" s="131"/>
      <c r="CW52" s="131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0"/>
      <c r="DW52" s="131"/>
      <c r="DX52" s="131"/>
      <c r="DY52" s="131"/>
      <c r="DZ52" s="131"/>
      <c r="EA52" s="131"/>
      <c r="EB52" s="131"/>
      <c r="EC52" s="131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IR52" s="42">
        <f>CP52*1</f>
        <v>0</v>
      </c>
      <c r="IS52" s="42">
        <f>CP52*(1-1)</f>
        <v>0</v>
      </c>
    </row>
    <row r="53" spans="1:253" ht="12.75">
      <c r="A53" s="142" t="s">
        <v>42</v>
      </c>
      <c r="B53" s="143"/>
      <c r="C53" s="142" t="s">
        <v>198</v>
      </c>
      <c r="D53" s="143"/>
      <c r="E53" s="143"/>
      <c r="F53" s="142" t="s">
        <v>237</v>
      </c>
      <c r="G53" s="143"/>
      <c r="H53" s="143"/>
      <c r="I53" s="143"/>
      <c r="J53" s="143"/>
      <c r="K53" s="143"/>
      <c r="L53" s="142" t="s">
        <v>390</v>
      </c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2" t="s">
        <v>526</v>
      </c>
      <c r="AT53" s="143"/>
      <c r="AU53" s="142" t="s">
        <v>636</v>
      </c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0">
        <f>'Výkaz výměr'!F56</f>
        <v>247.4</v>
      </c>
      <c r="CL53" s="141"/>
      <c r="CM53" s="141"/>
      <c r="CN53" s="141"/>
      <c r="CO53" s="141"/>
      <c r="CP53" s="140">
        <f>'Výkaz výměr'!G56</f>
        <v>0</v>
      </c>
      <c r="CQ53" s="141"/>
      <c r="CR53" s="141"/>
      <c r="CS53" s="141"/>
      <c r="CT53" s="141"/>
      <c r="CU53" s="141"/>
      <c r="CV53" s="141"/>
      <c r="CW53" s="141"/>
      <c r="CX53" s="140">
        <f>IR53*CK53</f>
        <v>0</v>
      </c>
      <c r="CY53" s="141"/>
      <c r="CZ53" s="141"/>
      <c r="DA53" s="141"/>
      <c r="DB53" s="141"/>
      <c r="DC53" s="141"/>
      <c r="DD53" s="141"/>
      <c r="DE53" s="141"/>
      <c r="DF53" s="140">
        <f>IS53*CK53</f>
        <v>0</v>
      </c>
      <c r="DG53" s="141"/>
      <c r="DH53" s="141"/>
      <c r="DI53" s="141"/>
      <c r="DJ53" s="141"/>
      <c r="DK53" s="141"/>
      <c r="DL53" s="141"/>
      <c r="DM53" s="141"/>
      <c r="DN53" s="140">
        <f>IR53*CK53+IS53*CK53</f>
        <v>0</v>
      </c>
      <c r="DO53" s="141"/>
      <c r="DP53" s="141"/>
      <c r="DQ53" s="141"/>
      <c r="DR53" s="141"/>
      <c r="DS53" s="141"/>
      <c r="DT53" s="141"/>
      <c r="DU53" s="141"/>
      <c r="DV53" s="140">
        <f>'Výkaz výměr'!L56</f>
        <v>0</v>
      </c>
      <c r="DW53" s="141"/>
      <c r="DX53" s="141"/>
      <c r="DY53" s="141"/>
      <c r="DZ53" s="141"/>
      <c r="EA53" s="141"/>
      <c r="EB53" s="141"/>
      <c r="EC53" s="141"/>
      <c r="ED53" s="140">
        <f>DV53*CK53</f>
        <v>0</v>
      </c>
      <c r="EE53" s="141"/>
      <c r="EF53" s="141"/>
      <c r="EG53" s="141"/>
      <c r="EH53" s="141"/>
      <c r="EI53" s="141"/>
      <c r="EJ53" s="141"/>
      <c r="EK53" s="141"/>
      <c r="EL53" s="142" t="s">
        <v>559</v>
      </c>
      <c r="EM53" s="143"/>
      <c r="EN53" s="143"/>
      <c r="EO53" s="143"/>
      <c r="EP53" s="143"/>
      <c r="EQ53" s="143"/>
      <c r="IR53" s="43">
        <f>CP53*0</f>
        <v>0</v>
      </c>
      <c r="IS53" s="43">
        <f>CP53*(1-0)</f>
        <v>0</v>
      </c>
    </row>
    <row r="54" spans="1:253" ht="12.75">
      <c r="A54" s="142" t="s">
        <v>43</v>
      </c>
      <c r="B54" s="143"/>
      <c r="C54" s="142" t="s">
        <v>198</v>
      </c>
      <c r="D54" s="143"/>
      <c r="E54" s="143"/>
      <c r="F54" s="142" t="s">
        <v>238</v>
      </c>
      <c r="G54" s="143"/>
      <c r="H54" s="143"/>
      <c r="I54" s="143"/>
      <c r="J54" s="143"/>
      <c r="K54" s="143"/>
      <c r="L54" s="142" t="s">
        <v>391</v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2" t="s">
        <v>526</v>
      </c>
      <c r="AT54" s="143"/>
      <c r="AU54" s="142" t="s">
        <v>638</v>
      </c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0">
        <f>'Výkaz výměr'!F57</f>
        <v>259</v>
      </c>
      <c r="CL54" s="141"/>
      <c r="CM54" s="141"/>
      <c r="CN54" s="141"/>
      <c r="CO54" s="141"/>
      <c r="CP54" s="140">
        <f>'Výkaz výměr'!G57</f>
        <v>0</v>
      </c>
      <c r="CQ54" s="141"/>
      <c r="CR54" s="141"/>
      <c r="CS54" s="141"/>
      <c r="CT54" s="141"/>
      <c r="CU54" s="141"/>
      <c r="CV54" s="141"/>
      <c r="CW54" s="141"/>
      <c r="CX54" s="140">
        <f>IR54*CK54</f>
        <v>0</v>
      </c>
      <c r="CY54" s="141"/>
      <c r="CZ54" s="141"/>
      <c r="DA54" s="141"/>
      <c r="DB54" s="141"/>
      <c r="DC54" s="141"/>
      <c r="DD54" s="141"/>
      <c r="DE54" s="141"/>
      <c r="DF54" s="140">
        <f>IS54*CK54</f>
        <v>0</v>
      </c>
      <c r="DG54" s="141"/>
      <c r="DH54" s="141"/>
      <c r="DI54" s="141"/>
      <c r="DJ54" s="141"/>
      <c r="DK54" s="141"/>
      <c r="DL54" s="141"/>
      <c r="DM54" s="141"/>
      <c r="DN54" s="140">
        <f>IR54*CK54+IS54*CK54</f>
        <v>0</v>
      </c>
      <c r="DO54" s="141"/>
      <c r="DP54" s="141"/>
      <c r="DQ54" s="141"/>
      <c r="DR54" s="141"/>
      <c r="DS54" s="141"/>
      <c r="DT54" s="141"/>
      <c r="DU54" s="141"/>
      <c r="DV54" s="140">
        <f>'Výkaz výměr'!L57</f>
        <v>5E-05</v>
      </c>
      <c r="DW54" s="141"/>
      <c r="DX54" s="141"/>
      <c r="DY54" s="141"/>
      <c r="DZ54" s="141"/>
      <c r="EA54" s="141"/>
      <c r="EB54" s="141"/>
      <c r="EC54" s="141"/>
      <c r="ED54" s="140">
        <f>DV54*CK54</f>
        <v>0.012950000000000001</v>
      </c>
      <c r="EE54" s="141"/>
      <c r="EF54" s="141"/>
      <c r="EG54" s="141"/>
      <c r="EH54" s="141"/>
      <c r="EI54" s="141"/>
      <c r="EJ54" s="141"/>
      <c r="EK54" s="141"/>
      <c r="EL54" s="142" t="s">
        <v>559</v>
      </c>
      <c r="EM54" s="143"/>
      <c r="EN54" s="143"/>
      <c r="EO54" s="143"/>
      <c r="EP54" s="143"/>
      <c r="EQ54" s="143"/>
      <c r="IR54" s="43">
        <f>CP54*0.423222748815166</f>
        <v>0</v>
      </c>
      <c r="IS54" s="43">
        <f>CP54*(1-0.423222748815166)</f>
        <v>0</v>
      </c>
    </row>
    <row r="55" spans="1:253" ht="12.75">
      <c r="A55" s="132" t="s">
        <v>44</v>
      </c>
      <c r="B55" s="133"/>
      <c r="C55" s="132" t="s">
        <v>198</v>
      </c>
      <c r="D55" s="133"/>
      <c r="E55" s="133"/>
      <c r="F55" s="132" t="s">
        <v>239</v>
      </c>
      <c r="G55" s="133"/>
      <c r="H55" s="133"/>
      <c r="I55" s="133"/>
      <c r="J55" s="133"/>
      <c r="K55" s="133"/>
      <c r="L55" s="132" t="s">
        <v>392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2" t="s">
        <v>526</v>
      </c>
      <c r="AT55" s="133"/>
      <c r="AU55" s="132" t="s">
        <v>638</v>
      </c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0">
        <f>'Výkaz výměr'!F58</f>
        <v>266.77</v>
      </c>
      <c r="CL55" s="131"/>
      <c r="CM55" s="131"/>
      <c r="CN55" s="131"/>
      <c r="CO55" s="131"/>
      <c r="CP55" s="130">
        <f>'Výkaz výměr'!G58</f>
        <v>0</v>
      </c>
      <c r="CQ55" s="131"/>
      <c r="CR55" s="131"/>
      <c r="CS55" s="131"/>
      <c r="CT55" s="131"/>
      <c r="CU55" s="131"/>
      <c r="CV55" s="131"/>
      <c r="CW55" s="131"/>
      <c r="CX55" s="130">
        <f>IR55*CK55</f>
        <v>0</v>
      </c>
      <c r="CY55" s="131"/>
      <c r="CZ55" s="131"/>
      <c r="DA55" s="131"/>
      <c r="DB55" s="131"/>
      <c r="DC55" s="131"/>
      <c r="DD55" s="131"/>
      <c r="DE55" s="131"/>
      <c r="DF55" s="130">
        <f>IS55*CK55</f>
        <v>0</v>
      </c>
      <c r="DG55" s="131"/>
      <c r="DH55" s="131"/>
      <c r="DI55" s="131"/>
      <c r="DJ55" s="131"/>
      <c r="DK55" s="131"/>
      <c r="DL55" s="131"/>
      <c r="DM55" s="131"/>
      <c r="DN55" s="130">
        <f>IR55*CK55+IS55*CK55</f>
        <v>0</v>
      </c>
      <c r="DO55" s="131"/>
      <c r="DP55" s="131"/>
      <c r="DQ55" s="131"/>
      <c r="DR55" s="131"/>
      <c r="DS55" s="131"/>
      <c r="DT55" s="131"/>
      <c r="DU55" s="131"/>
      <c r="DV55" s="130">
        <f>'Výkaz výměr'!L58</f>
        <v>0</v>
      </c>
      <c r="DW55" s="131"/>
      <c r="DX55" s="131"/>
      <c r="DY55" s="131"/>
      <c r="DZ55" s="131"/>
      <c r="EA55" s="131"/>
      <c r="EB55" s="131"/>
      <c r="EC55" s="131"/>
      <c r="ED55" s="130">
        <f>DV55*CK55</f>
        <v>0</v>
      </c>
      <c r="EE55" s="131"/>
      <c r="EF55" s="131"/>
      <c r="EG55" s="131"/>
      <c r="EH55" s="131"/>
      <c r="EI55" s="131"/>
      <c r="EJ55" s="131"/>
      <c r="EK55" s="131"/>
      <c r="EL55" s="132"/>
      <c r="EM55" s="133"/>
      <c r="EN55" s="133"/>
      <c r="EO55" s="133"/>
      <c r="EP55" s="133"/>
      <c r="EQ55" s="133"/>
      <c r="IR55" s="42">
        <f aca="true" t="shared" si="8" ref="IR55:IR62">CP55*1</f>
        <v>0</v>
      </c>
      <c r="IS55" s="42">
        <f aca="true" t="shared" si="9" ref="IS55:IS62">CP55*(1-1)</f>
        <v>0</v>
      </c>
    </row>
    <row r="56" spans="1:253" ht="12.75">
      <c r="A56" s="132"/>
      <c r="B56" s="133"/>
      <c r="C56" s="132"/>
      <c r="D56" s="133"/>
      <c r="E56" s="133"/>
      <c r="F56" s="132"/>
      <c r="G56" s="133"/>
      <c r="H56" s="133"/>
      <c r="I56" s="133"/>
      <c r="J56" s="133"/>
      <c r="K56" s="133"/>
      <c r="L56" s="132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2"/>
      <c r="AT56" s="133"/>
      <c r="AU56" s="132" t="s">
        <v>639</v>
      </c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0">
        <v>7.77</v>
      </c>
      <c r="CL56" s="131"/>
      <c r="CM56" s="131"/>
      <c r="CN56" s="131"/>
      <c r="CO56" s="131"/>
      <c r="CP56" s="130">
        <f>'Výkaz výměr'!G58</f>
        <v>0</v>
      </c>
      <c r="CQ56" s="131"/>
      <c r="CR56" s="131"/>
      <c r="CS56" s="131"/>
      <c r="CT56" s="131"/>
      <c r="CU56" s="131"/>
      <c r="CV56" s="131"/>
      <c r="CW56" s="131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0"/>
      <c r="DW56" s="131"/>
      <c r="DX56" s="131"/>
      <c r="DY56" s="131"/>
      <c r="DZ56" s="131"/>
      <c r="EA56" s="131"/>
      <c r="EB56" s="131"/>
      <c r="EC56" s="131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IR56" s="42">
        <f t="shared" si="8"/>
        <v>0</v>
      </c>
      <c r="IS56" s="42">
        <f t="shared" si="9"/>
        <v>0</v>
      </c>
    </row>
    <row r="57" spans="1:253" ht="12.75">
      <c r="A57" s="132" t="s">
        <v>45</v>
      </c>
      <c r="B57" s="133"/>
      <c r="C57" s="132" t="s">
        <v>198</v>
      </c>
      <c r="D57" s="133"/>
      <c r="E57" s="133"/>
      <c r="F57" s="132" t="s">
        <v>240</v>
      </c>
      <c r="G57" s="133"/>
      <c r="H57" s="133"/>
      <c r="I57" s="133"/>
      <c r="J57" s="133"/>
      <c r="K57" s="133"/>
      <c r="L57" s="132" t="s">
        <v>393</v>
      </c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2" t="s">
        <v>526</v>
      </c>
      <c r="AT57" s="133"/>
      <c r="AU57" s="132" t="s">
        <v>636</v>
      </c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0">
        <f>'Výkaz výměr'!F59</f>
        <v>272.14</v>
      </c>
      <c r="CL57" s="131"/>
      <c r="CM57" s="131"/>
      <c r="CN57" s="131"/>
      <c r="CO57" s="131"/>
      <c r="CP57" s="130">
        <f>'Výkaz výměr'!G59</f>
        <v>0</v>
      </c>
      <c r="CQ57" s="131"/>
      <c r="CR57" s="131"/>
      <c r="CS57" s="131"/>
      <c r="CT57" s="131"/>
      <c r="CU57" s="131"/>
      <c r="CV57" s="131"/>
      <c r="CW57" s="131"/>
      <c r="CX57" s="130">
        <f>IR57*CK57</f>
        <v>0</v>
      </c>
      <c r="CY57" s="131"/>
      <c r="CZ57" s="131"/>
      <c r="DA57" s="131"/>
      <c r="DB57" s="131"/>
      <c r="DC57" s="131"/>
      <c r="DD57" s="131"/>
      <c r="DE57" s="131"/>
      <c r="DF57" s="130">
        <f>IS57*CK57</f>
        <v>0</v>
      </c>
      <c r="DG57" s="131"/>
      <c r="DH57" s="131"/>
      <c r="DI57" s="131"/>
      <c r="DJ57" s="131"/>
      <c r="DK57" s="131"/>
      <c r="DL57" s="131"/>
      <c r="DM57" s="131"/>
      <c r="DN57" s="130">
        <f>IR57*CK57+IS57*CK57</f>
        <v>0</v>
      </c>
      <c r="DO57" s="131"/>
      <c r="DP57" s="131"/>
      <c r="DQ57" s="131"/>
      <c r="DR57" s="131"/>
      <c r="DS57" s="131"/>
      <c r="DT57" s="131"/>
      <c r="DU57" s="131"/>
      <c r="DV57" s="130">
        <f>'Výkaz výměr'!L59</f>
        <v>6E-05</v>
      </c>
      <c r="DW57" s="131"/>
      <c r="DX57" s="131"/>
      <c r="DY57" s="131"/>
      <c r="DZ57" s="131"/>
      <c r="EA57" s="131"/>
      <c r="EB57" s="131"/>
      <c r="EC57" s="131"/>
      <c r="ED57" s="130">
        <f>DV57*CK57</f>
        <v>0.0163284</v>
      </c>
      <c r="EE57" s="131"/>
      <c r="EF57" s="131"/>
      <c r="EG57" s="131"/>
      <c r="EH57" s="131"/>
      <c r="EI57" s="131"/>
      <c r="EJ57" s="131"/>
      <c r="EK57" s="131"/>
      <c r="EL57" s="132" t="s">
        <v>559</v>
      </c>
      <c r="EM57" s="133"/>
      <c r="EN57" s="133"/>
      <c r="EO57" s="133"/>
      <c r="EP57" s="133"/>
      <c r="EQ57" s="133"/>
      <c r="IR57" s="42">
        <f t="shared" si="8"/>
        <v>0</v>
      </c>
      <c r="IS57" s="42">
        <f t="shared" si="9"/>
        <v>0</v>
      </c>
    </row>
    <row r="58" spans="1:253" ht="12.75">
      <c r="A58" s="132"/>
      <c r="B58" s="133"/>
      <c r="C58" s="132"/>
      <c r="D58" s="133"/>
      <c r="E58" s="133"/>
      <c r="F58" s="132"/>
      <c r="G58" s="133"/>
      <c r="H58" s="133"/>
      <c r="I58" s="133"/>
      <c r="J58" s="133"/>
      <c r="K58" s="133"/>
      <c r="L58" s="132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2"/>
      <c r="AT58" s="133"/>
      <c r="AU58" s="132" t="s">
        <v>640</v>
      </c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0">
        <v>24.74</v>
      </c>
      <c r="CL58" s="131"/>
      <c r="CM58" s="131"/>
      <c r="CN58" s="131"/>
      <c r="CO58" s="131"/>
      <c r="CP58" s="130">
        <f>'Výkaz výměr'!G59</f>
        <v>0</v>
      </c>
      <c r="CQ58" s="131"/>
      <c r="CR58" s="131"/>
      <c r="CS58" s="131"/>
      <c r="CT58" s="131"/>
      <c r="CU58" s="131"/>
      <c r="CV58" s="131"/>
      <c r="CW58" s="131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0"/>
      <c r="DW58" s="131"/>
      <c r="DX58" s="131"/>
      <c r="DY58" s="131"/>
      <c r="DZ58" s="131"/>
      <c r="EA58" s="131"/>
      <c r="EB58" s="131"/>
      <c r="EC58" s="131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IR58" s="42">
        <f t="shared" si="8"/>
        <v>0</v>
      </c>
      <c r="IS58" s="42">
        <f t="shared" si="9"/>
        <v>0</v>
      </c>
    </row>
    <row r="59" spans="1:253" ht="12.75">
      <c r="A59" s="132" t="s">
        <v>46</v>
      </c>
      <c r="B59" s="133"/>
      <c r="C59" s="132" t="s">
        <v>198</v>
      </c>
      <c r="D59" s="133"/>
      <c r="E59" s="133"/>
      <c r="F59" s="132" t="s">
        <v>241</v>
      </c>
      <c r="G59" s="133"/>
      <c r="H59" s="133"/>
      <c r="I59" s="133"/>
      <c r="J59" s="133"/>
      <c r="K59" s="133"/>
      <c r="L59" s="132" t="s">
        <v>394</v>
      </c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2" t="s">
        <v>533</v>
      </c>
      <c r="AT59" s="133"/>
      <c r="AU59" s="132" t="s">
        <v>641</v>
      </c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0">
        <f>'Výkaz výměr'!F60</f>
        <v>2</v>
      </c>
      <c r="CL59" s="131"/>
      <c r="CM59" s="131"/>
      <c r="CN59" s="131"/>
      <c r="CO59" s="131"/>
      <c r="CP59" s="130">
        <f>'Výkaz výměr'!G60</f>
        <v>0</v>
      </c>
      <c r="CQ59" s="131"/>
      <c r="CR59" s="131"/>
      <c r="CS59" s="131"/>
      <c r="CT59" s="131"/>
      <c r="CU59" s="131"/>
      <c r="CV59" s="131"/>
      <c r="CW59" s="131"/>
      <c r="CX59" s="130">
        <f aca="true" t="shared" si="10" ref="CX59:CX90">IR59*CK59</f>
        <v>0</v>
      </c>
      <c r="CY59" s="131"/>
      <c r="CZ59" s="131"/>
      <c r="DA59" s="131"/>
      <c r="DB59" s="131"/>
      <c r="DC59" s="131"/>
      <c r="DD59" s="131"/>
      <c r="DE59" s="131"/>
      <c r="DF59" s="130">
        <f aca="true" t="shared" si="11" ref="DF59:DF90">IS59*CK59</f>
        <v>0</v>
      </c>
      <c r="DG59" s="131"/>
      <c r="DH59" s="131"/>
      <c r="DI59" s="131"/>
      <c r="DJ59" s="131"/>
      <c r="DK59" s="131"/>
      <c r="DL59" s="131"/>
      <c r="DM59" s="131"/>
      <c r="DN59" s="130">
        <f aca="true" t="shared" si="12" ref="DN59:DN90">IR59*CK59+IS59*CK59</f>
        <v>0</v>
      </c>
      <c r="DO59" s="131"/>
      <c r="DP59" s="131"/>
      <c r="DQ59" s="131"/>
      <c r="DR59" s="131"/>
      <c r="DS59" s="131"/>
      <c r="DT59" s="131"/>
      <c r="DU59" s="131"/>
      <c r="DV59" s="130">
        <f>'Výkaz výměr'!L60</f>
        <v>0.02</v>
      </c>
      <c r="DW59" s="131"/>
      <c r="DX59" s="131"/>
      <c r="DY59" s="131"/>
      <c r="DZ59" s="131"/>
      <c r="EA59" s="131"/>
      <c r="EB59" s="131"/>
      <c r="EC59" s="131"/>
      <c r="ED59" s="130">
        <f aca="true" t="shared" si="13" ref="ED59:ED90">DV59*CK59</f>
        <v>0.04</v>
      </c>
      <c r="EE59" s="131"/>
      <c r="EF59" s="131"/>
      <c r="EG59" s="131"/>
      <c r="EH59" s="131"/>
      <c r="EI59" s="131"/>
      <c r="EJ59" s="131"/>
      <c r="EK59" s="131"/>
      <c r="EL59" s="132"/>
      <c r="EM59" s="133"/>
      <c r="EN59" s="133"/>
      <c r="EO59" s="133"/>
      <c r="EP59" s="133"/>
      <c r="EQ59" s="133"/>
      <c r="IR59" s="42">
        <f t="shared" si="8"/>
        <v>0</v>
      </c>
      <c r="IS59" s="42">
        <f t="shared" si="9"/>
        <v>0</v>
      </c>
    </row>
    <row r="60" spans="1:253" ht="12.75">
      <c r="A60" s="132" t="s">
        <v>47</v>
      </c>
      <c r="B60" s="133"/>
      <c r="C60" s="132" t="s">
        <v>198</v>
      </c>
      <c r="D60" s="133"/>
      <c r="E60" s="133"/>
      <c r="F60" s="132" t="s">
        <v>242</v>
      </c>
      <c r="G60" s="133"/>
      <c r="H60" s="133"/>
      <c r="I60" s="133"/>
      <c r="J60" s="133"/>
      <c r="K60" s="133"/>
      <c r="L60" s="132" t="s">
        <v>395</v>
      </c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2" t="s">
        <v>533</v>
      </c>
      <c r="AT60" s="133"/>
      <c r="AU60" s="132" t="s">
        <v>642</v>
      </c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0">
        <f>'Výkaz výměr'!F61</f>
        <v>2</v>
      </c>
      <c r="CL60" s="131"/>
      <c r="CM60" s="131"/>
      <c r="CN60" s="131"/>
      <c r="CO60" s="131"/>
      <c r="CP60" s="130">
        <f>'Výkaz výměr'!G61</f>
        <v>0</v>
      </c>
      <c r="CQ60" s="131"/>
      <c r="CR60" s="131"/>
      <c r="CS60" s="131"/>
      <c r="CT60" s="131"/>
      <c r="CU60" s="131"/>
      <c r="CV60" s="131"/>
      <c r="CW60" s="131"/>
      <c r="CX60" s="130">
        <f t="shared" si="10"/>
        <v>0</v>
      </c>
      <c r="CY60" s="131"/>
      <c r="CZ60" s="131"/>
      <c r="DA60" s="131"/>
      <c r="DB60" s="131"/>
      <c r="DC60" s="131"/>
      <c r="DD60" s="131"/>
      <c r="DE60" s="131"/>
      <c r="DF60" s="130">
        <f t="shared" si="11"/>
        <v>0</v>
      </c>
      <c r="DG60" s="131"/>
      <c r="DH60" s="131"/>
      <c r="DI60" s="131"/>
      <c r="DJ60" s="131"/>
      <c r="DK60" s="131"/>
      <c r="DL60" s="131"/>
      <c r="DM60" s="131"/>
      <c r="DN60" s="130">
        <f t="shared" si="12"/>
        <v>0</v>
      </c>
      <c r="DO60" s="131"/>
      <c r="DP60" s="131"/>
      <c r="DQ60" s="131"/>
      <c r="DR60" s="131"/>
      <c r="DS60" s="131"/>
      <c r="DT60" s="131"/>
      <c r="DU60" s="131"/>
      <c r="DV60" s="130">
        <f>'Výkaz výměr'!L61</f>
        <v>0</v>
      </c>
      <c r="DW60" s="131"/>
      <c r="DX60" s="131"/>
      <c r="DY60" s="131"/>
      <c r="DZ60" s="131"/>
      <c r="EA60" s="131"/>
      <c r="EB60" s="131"/>
      <c r="EC60" s="131"/>
      <c r="ED60" s="130">
        <f t="shared" si="13"/>
        <v>0</v>
      </c>
      <c r="EE60" s="131"/>
      <c r="EF60" s="131"/>
      <c r="EG60" s="131"/>
      <c r="EH60" s="131"/>
      <c r="EI60" s="131"/>
      <c r="EJ60" s="131"/>
      <c r="EK60" s="131"/>
      <c r="EL60" s="132"/>
      <c r="EM60" s="133"/>
      <c r="EN60" s="133"/>
      <c r="EO60" s="133"/>
      <c r="EP60" s="133"/>
      <c r="EQ60" s="133"/>
      <c r="IR60" s="42">
        <f t="shared" si="8"/>
        <v>0</v>
      </c>
      <c r="IS60" s="42">
        <f t="shared" si="9"/>
        <v>0</v>
      </c>
    </row>
    <row r="61" spans="1:253" ht="12.75">
      <c r="A61" s="132" t="s">
        <v>48</v>
      </c>
      <c r="B61" s="133"/>
      <c r="C61" s="132" t="s">
        <v>198</v>
      </c>
      <c r="D61" s="133"/>
      <c r="E61" s="133"/>
      <c r="F61" s="132" t="s">
        <v>243</v>
      </c>
      <c r="G61" s="133"/>
      <c r="H61" s="133"/>
      <c r="I61" s="133"/>
      <c r="J61" s="133"/>
      <c r="K61" s="133"/>
      <c r="L61" s="132" t="s">
        <v>396</v>
      </c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2" t="s">
        <v>534</v>
      </c>
      <c r="AT61" s="133"/>
      <c r="AU61" s="132" t="s">
        <v>643</v>
      </c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0">
        <f>'Výkaz výměr'!F62</f>
        <v>4</v>
      </c>
      <c r="CL61" s="131"/>
      <c r="CM61" s="131"/>
      <c r="CN61" s="131"/>
      <c r="CO61" s="131"/>
      <c r="CP61" s="130">
        <f>'Výkaz výměr'!G62</f>
        <v>0</v>
      </c>
      <c r="CQ61" s="131"/>
      <c r="CR61" s="131"/>
      <c r="CS61" s="131"/>
      <c r="CT61" s="131"/>
      <c r="CU61" s="131"/>
      <c r="CV61" s="131"/>
      <c r="CW61" s="131"/>
      <c r="CX61" s="130">
        <f t="shared" si="10"/>
        <v>0</v>
      </c>
      <c r="CY61" s="131"/>
      <c r="CZ61" s="131"/>
      <c r="DA61" s="131"/>
      <c r="DB61" s="131"/>
      <c r="DC61" s="131"/>
      <c r="DD61" s="131"/>
      <c r="DE61" s="131"/>
      <c r="DF61" s="130">
        <f t="shared" si="11"/>
        <v>0</v>
      </c>
      <c r="DG61" s="131"/>
      <c r="DH61" s="131"/>
      <c r="DI61" s="131"/>
      <c r="DJ61" s="131"/>
      <c r="DK61" s="131"/>
      <c r="DL61" s="131"/>
      <c r="DM61" s="131"/>
      <c r="DN61" s="130">
        <f t="shared" si="12"/>
        <v>0</v>
      </c>
      <c r="DO61" s="131"/>
      <c r="DP61" s="131"/>
      <c r="DQ61" s="131"/>
      <c r="DR61" s="131"/>
      <c r="DS61" s="131"/>
      <c r="DT61" s="131"/>
      <c r="DU61" s="131"/>
      <c r="DV61" s="130">
        <f>'Výkaz výměr'!L62</f>
        <v>0.0073</v>
      </c>
      <c r="DW61" s="131"/>
      <c r="DX61" s="131"/>
      <c r="DY61" s="131"/>
      <c r="DZ61" s="131"/>
      <c r="EA61" s="131"/>
      <c r="EB61" s="131"/>
      <c r="EC61" s="131"/>
      <c r="ED61" s="130">
        <f t="shared" si="13"/>
        <v>0.0292</v>
      </c>
      <c r="EE61" s="131"/>
      <c r="EF61" s="131"/>
      <c r="EG61" s="131"/>
      <c r="EH61" s="131"/>
      <c r="EI61" s="131"/>
      <c r="EJ61" s="131"/>
      <c r="EK61" s="131"/>
      <c r="EL61" s="132" t="s">
        <v>559</v>
      </c>
      <c r="EM61" s="133"/>
      <c r="EN61" s="133"/>
      <c r="EO61" s="133"/>
      <c r="EP61" s="133"/>
      <c r="EQ61" s="133"/>
      <c r="IR61" s="42">
        <f t="shared" si="8"/>
        <v>0</v>
      </c>
      <c r="IS61" s="42">
        <f t="shared" si="9"/>
        <v>0</v>
      </c>
    </row>
    <row r="62" spans="1:253" ht="12.75">
      <c r="A62" s="132" t="s">
        <v>49</v>
      </c>
      <c r="B62" s="133"/>
      <c r="C62" s="132" t="s">
        <v>198</v>
      </c>
      <c r="D62" s="133"/>
      <c r="E62" s="133"/>
      <c r="F62" s="132" t="s">
        <v>244</v>
      </c>
      <c r="G62" s="133"/>
      <c r="H62" s="133"/>
      <c r="I62" s="133"/>
      <c r="J62" s="133"/>
      <c r="K62" s="133"/>
      <c r="L62" s="132" t="s">
        <v>397</v>
      </c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2" t="s">
        <v>534</v>
      </c>
      <c r="AT62" s="133"/>
      <c r="AU62" s="132" t="s">
        <v>644</v>
      </c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0">
        <f>'Výkaz výměr'!F63</f>
        <v>24</v>
      </c>
      <c r="CL62" s="131"/>
      <c r="CM62" s="131"/>
      <c r="CN62" s="131"/>
      <c r="CO62" s="131"/>
      <c r="CP62" s="130">
        <f>'Výkaz výměr'!G63</f>
        <v>0</v>
      </c>
      <c r="CQ62" s="131"/>
      <c r="CR62" s="131"/>
      <c r="CS62" s="131"/>
      <c r="CT62" s="131"/>
      <c r="CU62" s="131"/>
      <c r="CV62" s="131"/>
      <c r="CW62" s="131"/>
      <c r="CX62" s="130">
        <f t="shared" si="10"/>
        <v>0</v>
      </c>
      <c r="CY62" s="131"/>
      <c r="CZ62" s="131"/>
      <c r="DA62" s="131"/>
      <c r="DB62" s="131"/>
      <c r="DC62" s="131"/>
      <c r="DD62" s="131"/>
      <c r="DE62" s="131"/>
      <c r="DF62" s="130">
        <f t="shared" si="11"/>
        <v>0</v>
      </c>
      <c r="DG62" s="131"/>
      <c r="DH62" s="131"/>
      <c r="DI62" s="131"/>
      <c r="DJ62" s="131"/>
      <c r="DK62" s="131"/>
      <c r="DL62" s="131"/>
      <c r="DM62" s="131"/>
      <c r="DN62" s="130">
        <f t="shared" si="12"/>
        <v>0</v>
      </c>
      <c r="DO62" s="131"/>
      <c r="DP62" s="131"/>
      <c r="DQ62" s="131"/>
      <c r="DR62" s="131"/>
      <c r="DS62" s="131"/>
      <c r="DT62" s="131"/>
      <c r="DU62" s="131"/>
      <c r="DV62" s="130">
        <f>'Výkaz výměr'!L63</f>
        <v>0</v>
      </c>
      <c r="DW62" s="131"/>
      <c r="DX62" s="131"/>
      <c r="DY62" s="131"/>
      <c r="DZ62" s="131"/>
      <c r="EA62" s="131"/>
      <c r="EB62" s="131"/>
      <c r="EC62" s="131"/>
      <c r="ED62" s="130">
        <f t="shared" si="13"/>
        <v>0</v>
      </c>
      <c r="EE62" s="131"/>
      <c r="EF62" s="131"/>
      <c r="EG62" s="131"/>
      <c r="EH62" s="131"/>
      <c r="EI62" s="131"/>
      <c r="EJ62" s="131"/>
      <c r="EK62" s="131"/>
      <c r="EL62" s="132" t="s">
        <v>559</v>
      </c>
      <c r="EM62" s="133"/>
      <c r="EN62" s="133"/>
      <c r="EO62" s="133"/>
      <c r="EP62" s="133"/>
      <c r="EQ62" s="133"/>
      <c r="IR62" s="42">
        <f t="shared" si="8"/>
        <v>0</v>
      </c>
      <c r="IS62" s="42">
        <f t="shared" si="9"/>
        <v>0</v>
      </c>
    </row>
    <row r="63" spans="1:253" ht="12.75">
      <c r="A63" s="142" t="s">
        <v>50</v>
      </c>
      <c r="B63" s="143"/>
      <c r="C63" s="142" t="s">
        <v>198</v>
      </c>
      <c r="D63" s="143"/>
      <c r="E63" s="143"/>
      <c r="F63" s="142" t="s">
        <v>245</v>
      </c>
      <c r="G63" s="143"/>
      <c r="H63" s="143"/>
      <c r="I63" s="143"/>
      <c r="J63" s="143"/>
      <c r="K63" s="143"/>
      <c r="L63" s="142" t="s">
        <v>398</v>
      </c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2" t="s">
        <v>534</v>
      </c>
      <c r="AT63" s="143"/>
      <c r="AU63" s="142" t="s">
        <v>645</v>
      </c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0">
        <f>'Výkaz výměr'!F64</f>
        <v>26</v>
      </c>
      <c r="CL63" s="141"/>
      <c r="CM63" s="141"/>
      <c r="CN63" s="141"/>
      <c r="CO63" s="141"/>
      <c r="CP63" s="140">
        <f>'Výkaz výměr'!G64</f>
        <v>0</v>
      </c>
      <c r="CQ63" s="141"/>
      <c r="CR63" s="141"/>
      <c r="CS63" s="141"/>
      <c r="CT63" s="141"/>
      <c r="CU63" s="141"/>
      <c r="CV63" s="141"/>
      <c r="CW63" s="141"/>
      <c r="CX63" s="140">
        <f t="shared" si="10"/>
        <v>0</v>
      </c>
      <c r="CY63" s="141"/>
      <c r="CZ63" s="141"/>
      <c r="DA63" s="141"/>
      <c r="DB63" s="141"/>
      <c r="DC63" s="141"/>
      <c r="DD63" s="141"/>
      <c r="DE63" s="141"/>
      <c r="DF63" s="140">
        <f t="shared" si="11"/>
        <v>0</v>
      </c>
      <c r="DG63" s="141"/>
      <c r="DH63" s="141"/>
      <c r="DI63" s="141"/>
      <c r="DJ63" s="141"/>
      <c r="DK63" s="141"/>
      <c r="DL63" s="141"/>
      <c r="DM63" s="141"/>
      <c r="DN63" s="140">
        <f t="shared" si="12"/>
        <v>0</v>
      </c>
      <c r="DO63" s="141"/>
      <c r="DP63" s="141"/>
      <c r="DQ63" s="141"/>
      <c r="DR63" s="141"/>
      <c r="DS63" s="141"/>
      <c r="DT63" s="141"/>
      <c r="DU63" s="141"/>
      <c r="DV63" s="140">
        <f>'Výkaz výměr'!L64</f>
        <v>0.11178</v>
      </c>
      <c r="DW63" s="141"/>
      <c r="DX63" s="141"/>
      <c r="DY63" s="141"/>
      <c r="DZ63" s="141"/>
      <c r="EA63" s="141"/>
      <c r="EB63" s="141"/>
      <c r="EC63" s="141"/>
      <c r="ED63" s="140">
        <f t="shared" si="13"/>
        <v>2.90628</v>
      </c>
      <c r="EE63" s="141"/>
      <c r="EF63" s="141"/>
      <c r="EG63" s="141"/>
      <c r="EH63" s="141"/>
      <c r="EI63" s="141"/>
      <c r="EJ63" s="141"/>
      <c r="EK63" s="141"/>
      <c r="EL63" s="142" t="s">
        <v>559</v>
      </c>
      <c r="EM63" s="143"/>
      <c r="EN63" s="143"/>
      <c r="EO63" s="143"/>
      <c r="EP63" s="143"/>
      <c r="EQ63" s="143"/>
      <c r="IR63" s="43">
        <f>CP63*0.32736415807758</f>
        <v>0</v>
      </c>
      <c r="IS63" s="43">
        <f>CP63*(1-0.32736415807758)</f>
        <v>0</v>
      </c>
    </row>
    <row r="64" spans="1:253" ht="12.75">
      <c r="A64" s="132" t="s">
        <v>51</v>
      </c>
      <c r="B64" s="133"/>
      <c r="C64" s="132" t="s">
        <v>198</v>
      </c>
      <c r="D64" s="133"/>
      <c r="E64" s="133"/>
      <c r="F64" s="132" t="s">
        <v>246</v>
      </c>
      <c r="G64" s="133"/>
      <c r="H64" s="133"/>
      <c r="I64" s="133"/>
      <c r="J64" s="133"/>
      <c r="K64" s="133"/>
      <c r="L64" s="132" t="s">
        <v>399</v>
      </c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2" t="s">
        <v>534</v>
      </c>
      <c r="AT64" s="133"/>
      <c r="AU64" s="132" t="s">
        <v>644</v>
      </c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0">
        <f>'Výkaz výměr'!F65</f>
        <v>24</v>
      </c>
      <c r="CL64" s="131"/>
      <c r="CM64" s="131"/>
      <c r="CN64" s="131"/>
      <c r="CO64" s="131"/>
      <c r="CP64" s="130">
        <f>'Výkaz výměr'!G65</f>
        <v>0</v>
      </c>
      <c r="CQ64" s="131"/>
      <c r="CR64" s="131"/>
      <c r="CS64" s="131"/>
      <c r="CT64" s="131"/>
      <c r="CU64" s="131"/>
      <c r="CV64" s="131"/>
      <c r="CW64" s="131"/>
      <c r="CX64" s="130">
        <f t="shared" si="10"/>
        <v>0</v>
      </c>
      <c r="CY64" s="131"/>
      <c r="CZ64" s="131"/>
      <c r="DA64" s="131"/>
      <c r="DB64" s="131"/>
      <c r="DC64" s="131"/>
      <c r="DD64" s="131"/>
      <c r="DE64" s="131"/>
      <c r="DF64" s="130">
        <f t="shared" si="11"/>
        <v>0</v>
      </c>
      <c r="DG64" s="131"/>
      <c r="DH64" s="131"/>
      <c r="DI64" s="131"/>
      <c r="DJ64" s="131"/>
      <c r="DK64" s="131"/>
      <c r="DL64" s="131"/>
      <c r="DM64" s="131"/>
      <c r="DN64" s="130">
        <f t="shared" si="12"/>
        <v>0</v>
      </c>
      <c r="DO64" s="131"/>
      <c r="DP64" s="131"/>
      <c r="DQ64" s="131"/>
      <c r="DR64" s="131"/>
      <c r="DS64" s="131"/>
      <c r="DT64" s="131"/>
      <c r="DU64" s="131"/>
      <c r="DV64" s="130">
        <f>'Výkaz výměr'!L65</f>
        <v>0.016</v>
      </c>
      <c r="DW64" s="131"/>
      <c r="DX64" s="131"/>
      <c r="DY64" s="131"/>
      <c r="DZ64" s="131"/>
      <c r="EA64" s="131"/>
      <c r="EB64" s="131"/>
      <c r="EC64" s="131"/>
      <c r="ED64" s="130">
        <f t="shared" si="13"/>
        <v>0.384</v>
      </c>
      <c r="EE64" s="131"/>
      <c r="EF64" s="131"/>
      <c r="EG64" s="131"/>
      <c r="EH64" s="131"/>
      <c r="EI64" s="131"/>
      <c r="EJ64" s="131"/>
      <c r="EK64" s="131"/>
      <c r="EL64" s="132" t="s">
        <v>559</v>
      </c>
      <c r="EM64" s="133"/>
      <c r="EN64" s="133"/>
      <c r="EO64" s="133"/>
      <c r="EP64" s="133"/>
      <c r="EQ64" s="133"/>
      <c r="IR64" s="42">
        <f>CP64*1</f>
        <v>0</v>
      </c>
      <c r="IS64" s="42">
        <f>CP64*(1-1)</f>
        <v>0</v>
      </c>
    </row>
    <row r="65" spans="1:253" ht="12.75">
      <c r="A65" s="142" t="s">
        <v>52</v>
      </c>
      <c r="B65" s="143"/>
      <c r="C65" s="142" t="s">
        <v>198</v>
      </c>
      <c r="D65" s="143"/>
      <c r="E65" s="143"/>
      <c r="F65" s="142" t="s">
        <v>247</v>
      </c>
      <c r="G65" s="143"/>
      <c r="H65" s="143"/>
      <c r="I65" s="143"/>
      <c r="J65" s="143"/>
      <c r="K65" s="143"/>
      <c r="L65" s="142" t="s">
        <v>400</v>
      </c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2" t="s">
        <v>534</v>
      </c>
      <c r="AT65" s="143"/>
      <c r="AU65" s="142" t="s">
        <v>644</v>
      </c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0">
        <f>'Výkaz výměr'!F66</f>
        <v>24</v>
      </c>
      <c r="CL65" s="141"/>
      <c r="CM65" s="141"/>
      <c r="CN65" s="141"/>
      <c r="CO65" s="141"/>
      <c r="CP65" s="140">
        <f>'Výkaz výměr'!G66</f>
        <v>0</v>
      </c>
      <c r="CQ65" s="141"/>
      <c r="CR65" s="141"/>
      <c r="CS65" s="141"/>
      <c r="CT65" s="141"/>
      <c r="CU65" s="141"/>
      <c r="CV65" s="141"/>
      <c r="CW65" s="141"/>
      <c r="CX65" s="140">
        <f t="shared" si="10"/>
        <v>0</v>
      </c>
      <c r="CY65" s="141"/>
      <c r="CZ65" s="141"/>
      <c r="DA65" s="141"/>
      <c r="DB65" s="141"/>
      <c r="DC65" s="141"/>
      <c r="DD65" s="141"/>
      <c r="DE65" s="141"/>
      <c r="DF65" s="140">
        <f t="shared" si="11"/>
        <v>0</v>
      </c>
      <c r="DG65" s="141"/>
      <c r="DH65" s="141"/>
      <c r="DI65" s="141"/>
      <c r="DJ65" s="141"/>
      <c r="DK65" s="141"/>
      <c r="DL65" s="141"/>
      <c r="DM65" s="141"/>
      <c r="DN65" s="140">
        <f t="shared" si="12"/>
        <v>0</v>
      </c>
      <c r="DO65" s="141"/>
      <c r="DP65" s="141"/>
      <c r="DQ65" s="141"/>
      <c r="DR65" s="141"/>
      <c r="DS65" s="141"/>
      <c r="DT65" s="141"/>
      <c r="DU65" s="141"/>
      <c r="DV65" s="140">
        <f>'Výkaz výměr'!L66</f>
        <v>0.00022</v>
      </c>
      <c r="DW65" s="141"/>
      <c r="DX65" s="141"/>
      <c r="DY65" s="141"/>
      <c r="DZ65" s="141"/>
      <c r="EA65" s="141"/>
      <c r="EB65" s="141"/>
      <c r="EC65" s="141"/>
      <c r="ED65" s="140">
        <f t="shared" si="13"/>
        <v>0.00528</v>
      </c>
      <c r="EE65" s="141"/>
      <c r="EF65" s="141"/>
      <c r="EG65" s="141"/>
      <c r="EH65" s="141"/>
      <c r="EI65" s="141"/>
      <c r="EJ65" s="141"/>
      <c r="EK65" s="141"/>
      <c r="EL65" s="142" t="s">
        <v>559</v>
      </c>
      <c r="EM65" s="143"/>
      <c r="EN65" s="143"/>
      <c r="EO65" s="143"/>
      <c r="EP65" s="143"/>
      <c r="EQ65" s="143"/>
      <c r="IR65" s="43">
        <f>CP65*0.107881715821872</f>
        <v>0</v>
      </c>
      <c r="IS65" s="43">
        <f>CP65*(1-0.107881715821872)</f>
        <v>0</v>
      </c>
    </row>
    <row r="66" spans="1:253" ht="12.75">
      <c r="A66" s="142" t="s">
        <v>53</v>
      </c>
      <c r="B66" s="143"/>
      <c r="C66" s="142" t="s">
        <v>198</v>
      </c>
      <c r="D66" s="143"/>
      <c r="E66" s="143"/>
      <c r="F66" s="142" t="s">
        <v>248</v>
      </c>
      <c r="G66" s="143"/>
      <c r="H66" s="143"/>
      <c r="I66" s="143"/>
      <c r="J66" s="143"/>
      <c r="K66" s="143"/>
      <c r="L66" s="142" t="s">
        <v>401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2" t="s">
        <v>534</v>
      </c>
      <c r="AT66" s="143"/>
      <c r="AU66" s="142" t="s">
        <v>644</v>
      </c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0">
        <f>'Výkaz výměr'!F67</f>
        <v>24</v>
      </c>
      <c r="CL66" s="141"/>
      <c r="CM66" s="141"/>
      <c r="CN66" s="141"/>
      <c r="CO66" s="141"/>
      <c r="CP66" s="140">
        <f>'Výkaz výměr'!G67</f>
        <v>0</v>
      </c>
      <c r="CQ66" s="141"/>
      <c r="CR66" s="141"/>
      <c r="CS66" s="141"/>
      <c r="CT66" s="141"/>
      <c r="CU66" s="141"/>
      <c r="CV66" s="141"/>
      <c r="CW66" s="141"/>
      <c r="CX66" s="140">
        <f t="shared" si="10"/>
        <v>0</v>
      </c>
      <c r="CY66" s="141"/>
      <c r="CZ66" s="141"/>
      <c r="DA66" s="141"/>
      <c r="DB66" s="141"/>
      <c r="DC66" s="141"/>
      <c r="DD66" s="141"/>
      <c r="DE66" s="141"/>
      <c r="DF66" s="140">
        <f t="shared" si="11"/>
        <v>0</v>
      </c>
      <c r="DG66" s="141"/>
      <c r="DH66" s="141"/>
      <c r="DI66" s="141"/>
      <c r="DJ66" s="141"/>
      <c r="DK66" s="141"/>
      <c r="DL66" s="141"/>
      <c r="DM66" s="141"/>
      <c r="DN66" s="140">
        <f t="shared" si="12"/>
        <v>0</v>
      </c>
      <c r="DO66" s="141"/>
      <c r="DP66" s="141"/>
      <c r="DQ66" s="141"/>
      <c r="DR66" s="141"/>
      <c r="DS66" s="141"/>
      <c r="DT66" s="141"/>
      <c r="DU66" s="141"/>
      <c r="DV66" s="140">
        <f>'Výkaz výměr'!L67</f>
        <v>0</v>
      </c>
      <c r="DW66" s="141"/>
      <c r="DX66" s="141"/>
      <c r="DY66" s="141"/>
      <c r="DZ66" s="141"/>
      <c r="EA66" s="141"/>
      <c r="EB66" s="141"/>
      <c r="EC66" s="141"/>
      <c r="ED66" s="140">
        <f t="shared" si="13"/>
        <v>0</v>
      </c>
      <c r="EE66" s="141"/>
      <c r="EF66" s="141"/>
      <c r="EG66" s="141"/>
      <c r="EH66" s="141"/>
      <c r="EI66" s="141"/>
      <c r="EJ66" s="141"/>
      <c r="EK66" s="141"/>
      <c r="EL66" s="142" t="s">
        <v>559</v>
      </c>
      <c r="EM66" s="143"/>
      <c r="EN66" s="143"/>
      <c r="EO66" s="143"/>
      <c r="EP66" s="143"/>
      <c r="EQ66" s="143"/>
      <c r="IR66" s="43">
        <f>CP66*0</f>
        <v>0</v>
      </c>
      <c r="IS66" s="43">
        <f>CP66*(1-0)</f>
        <v>0</v>
      </c>
    </row>
    <row r="67" spans="1:253" ht="12.75">
      <c r="A67" s="142" t="s">
        <v>54</v>
      </c>
      <c r="B67" s="143"/>
      <c r="C67" s="142" t="s">
        <v>198</v>
      </c>
      <c r="D67" s="143"/>
      <c r="E67" s="143"/>
      <c r="F67" s="142" t="s">
        <v>249</v>
      </c>
      <c r="G67" s="143"/>
      <c r="H67" s="143"/>
      <c r="I67" s="143"/>
      <c r="J67" s="143"/>
      <c r="K67" s="143"/>
      <c r="L67" s="142" t="s">
        <v>402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2" t="s">
        <v>534</v>
      </c>
      <c r="AT67" s="143"/>
      <c r="AU67" s="142" t="s">
        <v>646</v>
      </c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0">
        <f>'Výkaz výměr'!F68</f>
        <v>6</v>
      </c>
      <c r="CL67" s="141"/>
      <c r="CM67" s="141"/>
      <c r="CN67" s="141"/>
      <c r="CO67" s="141"/>
      <c r="CP67" s="140">
        <f>'Výkaz výměr'!G68</f>
        <v>0</v>
      </c>
      <c r="CQ67" s="141"/>
      <c r="CR67" s="141"/>
      <c r="CS67" s="141"/>
      <c r="CT67" s="141"/>
      <c r="CU67" s="141"/>
      <c r="CV67" s="141"/>
      <c r="CW67" s="141"/>
      <c r="CX67" s="140">
        <f t="shared" si="10"/>
        <v>0</v>
      </c>
      <c r="CY67" s="141"/>
      <c r="CZ67" s="141"/>
      <c r="DA67" s="141"/>
      <c r="DB67" s="141"/>
      <c r="DC67" s="141"/>
      <c r="DD67" s="141"/>
      <c r="DE67" s="141"/>
      <c r="DF67" s="140">
        <f t="shared" si="11"/>
        <v>0</v>
      </c>
      <c r="DG67" s="141"/>
      <c r="DH67" s="141"/>
      <c r="DI67" s="141"/>
      <c r="DJ67" s="141"/>
      <c r="DK67" s="141"/>
      <c r="DL67" s="141"/>
      <c r="DM67" s="141"/>
      <c r="DN67" s="140">
        <f t="shared" si="12"/>
        <v>0</v>
      </c>
      <c r="DO67" s="141"/>
      <c r="DP67" s="141"/>
      <c r="DQ67" s="141"/>
      <c r="DR67" s="141"/>
      <c r="DS67" s="141"/>
      <c r="DT67" s="141"/>
      <c r="DU67" s="141"/>
      <c r="DV67" s="140">
        <f>'Výkaz výměr'!L68</f>
        <v>0</v>
      </c>
      <c r="DW67" s="141"/>
      <c r="DX67" s="141"/>
      <c r="DY67" s="141"/>
      <c r="DZ67" s="141"/>
      <c r="EA67" s="141"/>
      <c r="EB67" s="141"/>
      <c r="EC67" s="141"/>
      <c r="ED67" s="140">
        <f t="shared" si="13"/>
        <v>0</v>
      </c>
      <c r="EE67" s="141"/>
      <c r="EF67" s="141"/>
      <c r="EG67" s="141"/>
      <c r="EH67" s="141"/>
      <c r="EI67" s="141"/>
      <c r="EJ67" s="141"/>
      <c r="EK67" s="141"/>
      <c r="EL67" s="142" t="s">
        <v>559</v>
      </c>
      <c r="EM67" s="143"/>
      <c r="EN67" s="143"/>
      <c r="EO67" s="143"/>
      <c r="EP67" s="143"/>
      <c r="EQ67" s="143"/>
      <c r="IR67" s="43">
        <f>CP67*0.0000196078431372549</f>
        <v>0</v>
      </c>
      <c r="IS67" s="43">
        <f>CP67*(1-0.0000196078431372549)</f>
        <v>0</v>
      </c>
    </row>
    <row r="68" spans="1:253" ht="12.75">
      <c r="A68" s="142" t="s">
        <v>55</v>
      </c>
      <c r="B68" s="143"/>
      <c r="C68" s="142" t="s">
        <v>198</v>
      </c>
      <c r="D68" s="143"/>
      <c r="E68" s="143"/>
      <c r="F68" s="142" t="s">
        <v>250</v>
      </c>
      <c r="G68" s="143"/>
      <c r="H68" s="143"/>
      <c r="I68" s="143"/>
      <c r="J68" s="143"/>
      <c r="K68" s="143"/>
      <c r="L68" s="142" t="s">
        <v>403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2" t="s">
        <v>534</v>
      </c>
      <c r="AT68" s="143"/>
      <c r="AU68" s="142" t="s">
        <v>647</v>
      </c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0">
        <f>'Výkaz výměr'!F69</f>
        <v>4</v>
      </c>
      <c r="CL68" s="141"/>
      <c r="CM68" s="141"/>
      <c r="CN68" s="141"/>
      <c r="CO68" s="141"/>
      <c r="CP68" s="140">
        <f>'Výkaz výměr'!G69</f>
        <v>0</v>
      </c>
      <c r="CQ68" s="141"/>
      <c r="CR68" s="141"/>
      <c r="CS68" s="141"/>
      <c r="CT68" s="141"/>
      <c r="CU68" s="141"/>
      <c r="CV68" s="141"/>
      <c r="CW68" s="141"/>
      <c r="CX68" s="140">
        <f t="shared" si="10"/>
        <v>0</v>
      </c>
      <c r="CY68" s="141"/>
      <c r="CZ68" s="141"/>
      <c r="DA68" s="141"/>
      <c r="DB68" s="141"/>
      <c r="DC68" s="141"/>
      <c r="DD68" s="141"/>
      <c r="DE68" s="141"/>
      <c r="DF68" s="140">
        <f t="shared" si="11"/>
        <v>0</v>
      </c>
      <c r="DG68" s="141"/>
      <c r="DH68" s="141"/>
      <c r="DI68" s="141"/>
      <c r="DJ68" s="141"/>
      <c r="DK68" s="141"/>
      <c r="DL68" s="141"/>
      <c r="DM68" s="141"/>
      <c r="DN68" s="140">
        <f t="shared" si="12"/>
        <v>0</v>
      </c>
      <c r="DO68" s="141"/>
      <c r="DP68" s="141"/>
      <c r="DQ68" s="141"/>
      <c r="DR68" s="141"/>
      <c r="DS68" s="141"/>
      <c r="DT68" s="141"/>
      <c r="DU68" s="141"/>
      <c r="DV68" s="140">
        <f>'Výkaz výměr'!L69</f>
        <v>0.00032</v>
      </c>
      <c r="DW68" s="141"/>
      <c r="DX68" s="141"/>
      <c r="DY68" s="141"/>
      <c r="DZ68" s="141"/>
      <c r="EA68" s="141"/>
      <c r="EB68" s="141"/>
      <c r="EC68" s="141"/>
      <c r="ED68" s="140">
        <f t="shared" si="13"/>
        <v>0.00128</v>
      </c>
      <c r="EE68" s="141"/>
      <c r="EF68" s="141"/>
      <c r="EG68" s="141"/>
      <c r="EH68" s="141"/>
      <c r="EI68" s="141"/>
      <c r="EJ68" s="141"/>
      <c r="EK68" s="141"/>
      <c r="EL68" s="142" t="s">
        <v>559</v>
      </c>
      <c r="EM68" s="143"/>
      <c r="EN68" s="143"/>
      <c r="EO68" s="143"/>
      <c r="EP68" s="143"/>
      <c r="EQ68" s="143"/>
      <c r="IR68" s="43">
        <f>CP68*0.215927209705373</f>
        <v>0</v>
      </c>
      <c r="IS68" s="43">
        <f>CP68*(1-0.215927209705373)</f>
        <v>0</v>
      </c>
    </row>
    <row r="69" spans="1:253" ht="12.75">
      <c r="A69" s="142" t="s">
        <v>56</v>
      </c>
      <c r="B69" s="143"/>
      <c r="C69" s="142" t="s">
        <v>198</v>
      </c>
      <c r="D69" s="143"/>
      <c r="E69" s="143"/>
      <c r="F69" s="142" t="s">
        <v>251</v>
      </c>
      <c r="G69" s="143"/>
      <c r="H69" s="143"/>
      <c r="I69" s="143"/>
      <c r="J69" s="143"/>
      <c r="K69" s="143"/>
      <c r="L69" s="142" t="s">
        <v>404</v>
      </c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2" t="s">
        <v>534</v>
      </c>
      <c r="AT69" s="143"/>
      <c r="AU69" s="142" t="s">
        <v>648</v>
      </c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0">
        <f>'Výkaz výměr'!F70</f>
        <v>20</v>
      </c>
      <c r="CL69" s="141"/>
      <c r="CM69" s="141"/>
      <c r="CN69" s="141"/>
      <c r="CO69" s="141"/>
      <c r="CP69" s="140">
        <f>'Výkaz výměr'!G70</f>
        <v>0</v>
      </c>
      <c r="CQ69" s="141"/>
      <c r="CR69" s="141"/>
      <c r="CS69" s="141"/>
      <c r="CT69" s="141"/>
      <c r="CU69" s="141"/>
      <c r="CV69" s="141"/>
      <c r="CW69" s="141"/>
      <c r="CX69" s="140">
        <f t="shared" si="10"/>
        <v>0</v>
      </c>
      <c r="CY69" s="141"/>
      <c r="CZ69" s="141"/>
      <c r="DA69" s="141"/>
      <c r="DB69" s="141"/>
      <c r="DC69" s="141"/>
      <c r="DD69" s="141"/>
      <c r="DE69" s="141"/>
      <c r="DF69" s="140">
        <f t="shared" si="11"/>
        <v>0</v>
      </c>
      <c r="DG69" s="141"/>
      <c r="DH69" s="141"/>
      <c r="DI69" s="141"/>
      <c r="DJ69" s="141"/>
      <c r="DK69" s="141"/>
      <c r="DL69" s="141"/>
      <c r="DM69" s="141"/>
      <c r="DN69" s="140">
        <f t="shared" si="12"/>
        <v>0</v>
      </c>
      <c r="DO69" s="141"/>
      <c r="DP69" s="141"/>
      <c r="DQ69" s="141"/>
      <c r="DR69" s="141"/>
      <c r="DS69" s="141"/>
      <c r="DT69" s="141"/>
      <c r="DU69" s="141"/>
      <c r="DV69" s="140">
        <f>'Výkaz výměr'!L70</f>
        <v>0</v>
      </c>
      <c r="DW69" s="141"/>
      <c r="DX69" s="141"/>
      <c r="DY69" s="141"/>
      <c r="DZ69" s="141"/>
      <c r="EA69" s="141"/>
      <c r="EB69" s="141"/>
      <c r="EC69" s="141"/>
      <c r="ED69" s="140">
        <f t="shared" si="13"/>
        <v>0</v>
      </c>
      <c r="EE69" s="141"/>
      <c r="EF69" s="141"/>
      <c r="EG69" s="141"/>
      <c r="EH69" s="141"/>
      <c r="EI69" s="141"/>
      <c r="EJ69" s="141"/>
      <c r="EK69" s="141"/>
      <c r="EL69" s="142" t="s">
        <v>559</v>
      </c>
      <c r="EM69" s="143"/>
      <c r="EN69" s="143"/>
      <c r="EO69" s="143"/>
      <c r="EP69" s="143"/>
      <c r="EQ69" s="143"/>
      <c r="IR69" s="43">
        <f>CP69*0</f>
        <v>0</v>
      </c>
      <c r="IS69" s="43">
        <f>CP69*(1-0)</f>
        <v>0</v>
      </c>
    </row>
    <row r="70" spans="1:253" ht="12.75">
      <c r="A70" s="132" t="s">
        <v>57</v>
      </c>
      <c r="B70" s="133"/>
      <c r="C70" s="132" t="s">
        <v>198</v>
      </c>
      <c r="D70" s="133"/>
      <c r="E70" s="133"/>
      <c r="F70" s="132" t="s">
        <v>252</v>
      </c>
      <c r="G70" s="133"/>
      <c r="H70" s="133"/>
      <c r="I70" s="133"/>
      <c r="J70" s="133"/>
      <c r="K70" s="133"/>
      <c r="L70" s="132" t="s">
        <v>405</v>
      </c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2" t="s">
        <v>533</v>
      </c>
      <c r="AT70" s="133"/>
      <c r="AU70" s="132" t="s">
        <v>649</v>
      </c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0">
        <f>'Výkaz výměr'!F71</f>
        <v>20</v>
      </c>
      <c r="CL70" s="131"/>
      <c r="CM70" s="131"/>
      <c r="CN70" s="131"/>
      <c r="CO70" s="131"/>
      <c r="CP70" s="130">
        <f>'Výkaz výměr'!G71</f>
        <v>0</v>
      </c>
      <c r="CQ70" s="131"/>
      <c r="CR70" s="131"/>
      <c r="CS70" s="131"/>
      <c r="CT70" s="131"/>
      <c r="CU70" s="131"/>
      <c r="CV70" s="131"/>
      <c r="CW70" s="131"/>
      <c r="CX70" s="130">
        <f t="shared" si="10"/>
        <v>0</v>
      </c>
      <c r="CY70" s="131"/>
      <c r="CZ70" s="131"/>
      <c r="DA70" s="131"/>
      <c r="DB70" s="131"/>
      <c r="DC70" s="131"/>
      <c r="DD70" s="131"/>
      <c r="DE70" s="131"/>
      <c r="DF70" s="130">
        <f t="shared" si="11"/>
        <v>0</v>
      </c>
      <c r="DG70" s="131"/>
      <c r="DH70" s="131"/>
      <c r="DI70" s="131"/>
      <c r="DJ70" s="131"/>
      <c r="DK70" s="131"/>
      <c r="DL70" s="131"/>
      <c r="DM70" s="131"/>
      <c r="DN70" s="130">
        <f t="shared" si="12"/>
        <v>0</v>
      </c>
      <c r="DO70" s="131"/>
      <c r="DP70" s="131"/>
      <c r="DQ70" s="131"/>
      <c r="DR70" s="131"/>
      <c r="DS70" s="131"/>
      <c r="DT70" s="131"/>
      <c r="DU70" s="131"/>
      <c r="DV70" s="130">
        <f>'Výkaz výměr'!L71</f>
        <v>0</v>
      </c>
      <c r="DW70" s="131"/>
      <c r="DX70" s="131"/>
      <c r="DY70" s="131"/>
      <c r="DZ70" s="131"/>
      <c r="EA70" s="131"/>
      <c r="EB70" s="131"/>
      <c r="EC70" s="131"/>
      <c r="ED70" s="130">
        <f t="shared" si="13"/>
        <v>0</v>
      </c>
      <c r="EE70" s="131"/>
      <c r="EF70" s="131"/>
      <c r="EG70" s="131"/>
      <c r="EH70" s="131"/>
      <c r="EI70" s="131"/>
      <c r="EJ70" s="131"/>
      <c r="EK70" s="131"/>
      <c r="EL70" s="132"/>
      <c r="EM70" s="133"/>
      <c r="EN70" s="133"/>
      <c r="EO70" s="133"/>
      <c r="EP70" s="133"/>
      <c r="EQ70" s="133"/>
      <c r="IR70" s="42">
        <f>CP70*1</f>
        <v>0</v>
      </c>
      <c r="IS70" s="42">
        <f>CP70*(1-1)</f>
        <v>0</v>
      </c>
    </row>
    <row r="71" spans="1:253" ht="12.75">
      <c r="A71" s="142" t="s">
        <v>58</v>
      </c>
      <c r="B71" s="143"/>
      <c r="C71" s="142" t="s">
        <v>198</v>
      </c>
      <c r="D71" s="143"/>
      <c r="E71" s="143"/>
      <c r="F71" s="142" t="s">
        <v>253</v>
      </c>
      <c r="G71" s="143"/>
      <c r="H71" s="143"/>
      <c r="I71" s="143"/>
      <c r="J71" s="143"/>
      <c r="K71" s="143"/>
      <c r="L71" s="142" t="s">
        <v>406</v>
      </c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2" t="s">
        <v>534</v>
      </c>
      <c r="AT71" s="143"/>
      <c r="AU71" s="142" t="s">
        <v>650</v>
      </c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0">
        <f>'Výkaz výměr'!F72</f>
        <v>31</v>
      </c>
      <c r="CL71" s="141"/>
      <c r="CM71" s="141"/>
      <c r="CN71" s="141"/>
      <c r="CO71" s="141"/>
      <c r="CP71" s="140">
        <f>'Výkaz výměr'!G72</f>
        <v>0</v>
      </c>
      <c r="CQ71" s="141"/>
      <c r="CR71" s="141"/>
      <c r="CS71" s="141"/>
      <c r="CT71" s="141"/>
      <c r="CU71" s="141"/>
      <c r="CV71" s="141"/>
      <c r="CW71" s="141"/>
      <c r="CX71" s="140">
        <f t="shared" si="10"/>
        <v>0</v>
      </c>
      <c r="CY71" s="141"/>
      <c r="CZ71" s="141"/>
      <c r="DA71" s="141"/>
      <c r="DB71" s="141"/>
      <c r="DC71" s="141"/>
      <c r="DD71" s="141"/>
      <c r="DE71" s="141"/>
      <c r="DF71" s="140">
        <f t="shared" si="11"/>
        <v>0</v>
      </c>
      <c r="DG71" s="141"/>
      <c r="DH71" s="141"/>
      <c r="DI71" s="141"/>
      <c r="DJ71" s="141"/>
      <c r="DK71" s="141"/>
      <c r="DL71" s="141"/>
      <c r="DM71" s="141"/>
      <c r="DN71" s="140">
        <f t="shared" si="12"/>
        <v>0</v>
      </c>
      <c r="DO71" s="141"/>
      <c r="DP71" s="141"/>
      <c r="DQ71" s="141"/>
      <c r="DR71" s="141"/>
      <c r="DS71" s="141"/>
      <c r="DT71" s="141"/>
      <c r="DU71" s="141"/>
      <c r="DV71" s="140">
        <f>'Výkaz výměr'!L72</f>
        <v>0</v>
      </c>
      <c r="DW71" s="141"/>
      <c r="DX71" s="141"/>
      <c r="DY71" s="141"/>
      <c r="DZ71" s="141"/>
      <c r="EA71" s="141"/>
      <c r="EB71" s="141"/>
      <c r="EC71" s="141"/>
      <c r="ED71" s="140">
        <f t="shared" si="13"/>
        <v>0</v>
      </c>
      <c r="EE71" s="141"/>
      <c r="EF71" s="141"/>
      <c r="EG71" s="141"/>
      <c r="EH71" s="141"/>
      <c r="EI71" s="141"/>
      <c r="EJ71" s="141"/>
      <c r="EK71" s="141"/>
      <c r="EL71" s="142" t="s">
        <v>559</v>
      </c>
      <c r="EM71" s="143"/>
      <c r="EN71" s="143"/>
      <c r="EO71" s="143"/>
      <c r="EP71" s="143"/>
      <c r="EQ71" s="143"/>
      <c r="IR71" s="43">
        <f>CP71*0</f>
        <v>0</v>
      </c>
      <c r="IS71" s="43">
        <f>CP71*(1-0)</f>
        <v>0</v>
      </c>
    </row>
    <row r="72" spans="1:253" ht="12.75">
      <c r="A72" s="132" t="s">
        <v>59</v>
      </c>
      <c r="B72" s="133"/>
      <c r="C72" s="132" t="s">
        <v>198</v>
      </c>
      <c r="D72" s="133"/>
      <c r="E72" s="133"/>
      <c r="F72" s="132" t="s">
        <v>254</v>
      </c>
      <c r="G72" s="133"/>
      <c r="H72" s="133"/>
      <c r="I72" s="133"/>
      <c r="J72" s="133"/>
      <c r="K72" s="133"/>
      <c r="L72" s="132" t="s">
        <v>407</v>
      </c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2" t="s">
        <v>533</v>
      </c>
      <c r="AT72" s="133"/>
      <c r="AU72" s="132" t="s">
        <v>651</v>
      </c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0">
        <f>'Výkaz výměr'!F73</f>
        <v>31</v>
      </c>
      <c r="CL72" s="131"/>
      <c r="CM72" s="131"/>
      <c r="CN72" s="131"/>
      <c r="CO72" s="131"/>
      <c r="CP72" s="130">
        <f>'Výkaz výměr'!G73</f>
        <v>0</v>
      </c>
      <c r="CQ72" s="131"/>
      <c r="CR72" s="131"/>
      <c r="CS72" s="131"/>
      <c r="CT72" s="131"/>
      <c r="CU72" s="131"/>
      <c r="CV72" s="131"/>
      <c r="CW72" s="131"/>
      <c r="CX72" s="130">
        <f t="shared" si="10"/>
        <v>0</v>
      </c>
      <c r="CY72" s="131"/>
      <c r="CZ72" s="131"/>
      <c r="DA72" s="131"/>
      <c r="DB72" s="131"/>
      <c r="DC72" s="131"/>
      <c r="DD72" s="131"/>
      <c r="DE72" s="131"/>
      <c r="DF72" s="130">
        <f t="shared" si="11"/>
        <v>0</v>
      </c>
      <c r="DG72" s="131"/>
      <c r="DH72" s="131"/>
      <c r="DI72" s="131"/>
      <c r="DJ72" s="131"/>
      <c r="DK72" s="131"/>
      <c r="DL72" s="131"/>
      <c r="DM72" s="131"/>
      <c r="DN72" s="130">
        <f t="shared" si="12"/>
        <v>0</v>
      </c>
      <c r="DO72" s="131"/>
      <c r="DP72" s="131"/>
      <c r="DQ72" s="131"/>
      <c r="DR72" s="131"/>
      <c r="DS72" s="131"/>
      <c r="DT72" s="131"/>
      <c r="DU72" s="131"/>
      <c r="DV72" s="130">
        <f>'Výkaz výměr'!L73</f>
        <v>0</v>
      </c>
      <c r="DW72" s="131"/>
      <c r="DX72" s="131"/>
      <c r="DY72" s="131"/>
      <c r="DZ72" s="131"/>
      <c r="EA72" s="131"/>
      <c r="EB72" s="131"/>
      <c r="EC72" s="131"/>
      <c r="ED72" s="130">
        <f t="shared" si="13"/>
        <v>0</v>
      </c>
      <c r="EE72" s="131"/>
      <c r="EF72" s="131"/>
      <c r="EG72" s="131"/>
      <c r="EH72" s="131"/>
      <c r="EI72" s="131"/>
      <c r="EJ72" s="131"/>
      <c r="EK72" s="131"/>
      <c r="EL72" s="132"/>
      <c r="EM72" s="133"/>
      <c r="EN72" s="133"/>
      <c r="EO72" s="133"/>
      <c r="EP72" s="133"/>
      <c r="EQ72" s="133"/>
      <c r="IR72" s="42">
        <f>CP72*1</f>
        <v>0</v>
      </c>
      <c r="IS72" s="42">
        <f>CP72*(1-1)</f>
        <v>0</v>
      </c>
    </row>
    <row r="73" spans="1:253" ht="12.75">
      <c r="A73" s="142" t="s">
        <v>60</v>
      </c>
      <c r="B73" s="143"/>
      <c r="C73" s="142" t="s">
        <v>198</v>
      </c>
      <c r="D73" s="143"/>
      <c r="E73" s="143"/>
      <c r="F73" s="142" t="s">
        <v>255</v>
      </c>
      <c r="G73" s="143"/>
      <c r="H73" s="143"/>
      <c r="I73" s="143"/>
      <c r="J73" s="143"/>
      <c r="K73" s="143"/>
      <c r="L73" s="142" t="s">
        <v>408</v>
      </c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2" t="s">
        <v>528</v>
      </c>
      <c r="AT73" s="143"/>
      <c r="AU73" s="142" t="s">
        <v>652</v>
      </c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0">
        <f>'Výkaz výměr'!F74</f>
        <v>247.4</v>
      </c>
      <c r="CL73" s="141"/>
      <c r="CM73" s="141"/>
      <c r="CN73" s="141"/>
      <c r="CO73" s="141"/>
      <c r="CP73" s="140">
        <f>'Výkaz výměr'!G74</f>
        <v>0</v>
      </c>
      <c r="CQ73" s="141"/>
      <c r="CR73" s="141"/>
      <c r="CS73" s="141"/>
      <c r="CT73" s="141"/>
      <c r="CU73" s="141"/>
      <c r="CV73" s="141"/>
      <c r="CW73" s="141"/>
      <c r="CX73" s="140">
        <f t="shared" si="10"/>
        <v>0</v>
      </c>
      <c r="CY73" s="141"/>
      <c r="CZ73" s="141"/>
      <c r="DA73" s="141"/>
      <c r="DB73" s="141"/>
      <c r="DC73" s="141"/>
      <c r="DD73" s="141"/>
      <c r="DE73" s="141"/>
      <c r="DF73" s="140">
        <f t="shared" si="11"/>
        <v>0</v>
      </c>
      <c r="DG73" s="141"/>
      <c r="DH73" s="141"/>
      <c r="DI73" s="141"/>
      <c r="DJ73" s="141"/>
      <c r="DK73" s="141"/>
      <c r="DL73" s="141"/>
      <c r="DM73" s="141"/>
      <c r="DN73" s="140">
        <f t="shared" si="12"/>
        <v>0</v>
      </c>
      <c r="DO73" s="141"/>
      <c r="DP73" s="141"/>
      <c r="DQ73" s="141"/>
      <c r="DR73" s="141"/>
      <c r="DS73" s="141"/>
      <c r="DT73" s="141"/>
      <c r="DU73" s="141"/>
      <c r="DV73" s="140">
        <f>'Výkaz výměr'!L74</f>
        <v>0</v>
      </c>
      <c r="DW73" s="141"/>
      <c r="DX73" s="141"/>
      <c r="DY73" s="141"/>
      <c r="DZ73" s="141"/>
      <c r="EA73" s="141"/>
      <c r="EB73" s="141"/>
      <c r="EC73" s="141"/>
      <c r="ED73" s="140">
        <f t="shared" si="13"/>
        <v>0</v>
      </c>
      <c r="EE73" s="141"/>
      <c r="EF73" s="141"/>
      <c r="EG73" s="141"/>
      <c r="EH73" s="141"/>
      <c r="EI73" s="141"/>
      <c r="EJ73" s="141"/>
      <c r="EK73" s="141"/>
      <c r="EL73" s="142" t="s">
        <v>559</v>
      </c>
      <c r="EM73" s="143"/>
      <c r="EN73" s="143"/>
      <c r="EO73" s="143"/>
      <c r="EP73" s="143"/>
      <c r="EQ73" s="143"/>
      <c r="IR73" s="43">
        <f>CP73*0</f>
        <v>0</v>
      </c>
      <c r="IS73" s="43">
        <f>CP73*(1-0)</f>
        <v>0</v>
      </c>
    </row>
    <row r="74" spans="1:253" ht="12.75">
      <c r="A74" s="142" t="s">
        <v>61</v>
      </c>
      <c r="B74" s="143"/>
      <c r="C74" s="142" t="s">
        <v>198</v>
      </c>
      <c r="D74" s="143"/>
      <c r="E74" s="143"/>
      <c r="F74" s="142" t="s">
        <v>256</v>
      </c>
      <c r="G74" s="143"/>
      <c r="H74" s="143"/>
      <c r="I74" s="143"/>
      <c r="J74" s="143"/>
      <c r="K74" s="143"/>
      <c r="L74" s="142" t="s">
        <v>409</v>
      </c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2" t="s">
        <v>530</v>
      </c>
      <c r="AT74" s="143"/>
      <c r="AU74" s="142" t="s">
        <v>653</v>
      </c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0">
        <f>'Výkaz výměr'!F75</f>
        <v>24.7</v>
      </c>
      <c r="CL74" s="141"/>
      <c r="CM74" s="141"/>
      <c r="CN74" s="141"/>
      <c r="CO74" s="141"/>
      <c r="CP74" s="140">
        <f>'Výkaz výměr'!G75</f>
        <v>0</v>
      </c>
      <c r="CQ74" s="141"/>
      <c r="CR74" s="141"/>
      <c r="CS74" s="141"/>
      <c r="CT74" s="141"/>
      <c r="CU74" s="141"/>
      <c r="CV74" s="141"/>
      <c r="CW74" s="141"/>
      <c r="CX74" s="140">
        <f t="shared" si="10"/>
        <v>0</v>
      </c>
      <c r="CY74" s="141"/>
      <c r="CZ74" s="141"/>
      <c r="DA74" s="141"/>
      <c r="DB74" s="141"/>
      <c r="DC74" s="141"/>
      <c r="DD74" s="141"/>
      <c r="DE74" s="141"/>
      <c r="DF74" s="140">
        <f t="shared" si="11"/>
        <v>0</v>
      </c>
      <c r="DG74" s="141"/>
      <c r="DH74" s="141"/>
      <c r="DI74" s="141"/>
      <c r="DJ74" s="141"/>
      <c r="DK74" s="141"/>
      <c r="DL74" s="141"/>
      <c r="DM74" s="141"/>
      <c r="DN74" s="140">
        <f t="shared" si="12"/>
        <v>0</v>
      </c>
      <c r="DO74" s="141"/>
      <c r="DP74" s="141"/>
      <c r="DQ74" s="141"/>
      <c r="DR74" s="141"/>
      <c r="DS74" s="141"/>
      <c r="DT74" s="141"/>
      <c r="DU74" s="141"/>
      <c r="DV74" s="140">
        <f>'Výkaz výměr'!L75</f>
        <v>1.1322</v>
      </c>
      <c r="DW74" s="141"/>
      <c r="DX74" s="141"/>
      <c r="DY74" s="141"/>
      <c r="DZ74" s="141"/>
      <c r="EA74" s="141"/>
      <c r="EB74" s="141"/>
      <c r="EC74" s="141"/>
      <c r="ED74" s="140">
        <f t="shared" si="13"/>
        <v>27.96534</v>
      </c>
      <c r="EE74" s="141"/>
      <c r="EF74" s="141"/>
      <c r="EG74" s="141"/>
      <c r="EH74" s="141"/>
      <c r="EI74" s="141"/>
      <c r="EJ74" s="141"/>
      <c r="EK74" s="141"/>
      <c r="EL74" s="142" t="s">
        <v>559</v>
      </c>
      <c r="EM74" s="143"/>
      <c r="EN74" s="143"/>
      <c r="EO74" s="143"/>
      <c r="EP74" s="143"/>
      <c r="EQ74" s="143"/>
      <c r="IR74" s="43">
        <f>CP74*0.511265108783239</f>
        <v>0</v>
      </c>
      <c r="IS74" s="43">
        <f>CP74*(1-0.511265108783239)</f>
        <v>0</v>
      </c>
    </row>
    <row r="75" spans="1:253" ht="12.75">
      <c r="A75" s="142" t="s">
        <v>62</v>
      </c>
      <c r="B75" s="143"/>
      <c r="C75" s="142" t="s">
        <v>198</v>
      </c>
      <c r="D75" s="143"/>
      <c r="E75" s="143"/>
      <c r="F75" s="142" t="s">
        <v>257</v>
      </c>
      <c r="G75" s="143"/>
      <c r="H75" s="143"/>
      <c r="I75" s="143"/>
      <c r="J75" s="143"/>
      <c r="K75" s="143"/>
      <c r="L75" s="142" t="s">
        <v>410</v>
      </c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2" t="s">
        <v>530</v>
      </c>
      <c r="AT75" s="143"/>
      <c r="AU75" s="142" t="s">
        <v>654</v>
      </c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0">
        <f>'Výkaz výměr'!F76</f>
        <v>74.22</v>
      </c>
      <c r="CL75" s="141"/>
      <c r="CM75" s="141"/>
      <c r="CN75" s="141"/>
      <c r="CO75" s="141"/>
      <c r="CP75" s="140">
        <f>'Výkaz výměr'!G76</f>
        <v>0</v>
      </c>
      <c r="CQ75" s="141"/>
      <c r="CR75" s="141"/>
      <c r="CS75" s="141"/>
      <c r="CT75" s="141"/>
      <c r="CU75" s="141"/>
      <c r="CV75" s="141"/>
      <c r="CW75" s="141"/>
      <c r="CX75" s="140">
        <f t="shared" si="10"/>
        <v>0</v>
      </c>
      <c r="CY75" s="141"/>
      <c r="CZ75" s="141"/>
      <c r="DA75" s="141"/>
      <c r="DB75" s="141"/>
      <c r="DC75" s="141"/>
      <c r="DD75" s="141"/>
      <c r="DE75" s="141"/>
      <c r="DF75" s="140">
        <f t="shared" si="11"/>
        <v>0</v>
      </c>
      <c r="DG75" s="141"/>
      <c r="DH75" s="141"/>
      <c r="DI75" s="141"/>
      <c r="DJ75" s="141"/>
      <c r="DK75" s="141"/>
      <c r="DL75" s="141"/>
      <c r="DM75" s="141"/>
      <c r="DN75" s="140">
        <f t="shared" si="12"/>
        <v>0</v>
      </c>
      <c r="DO75" s="141"/>
      <c r="DP75" s="141"/>
      <c r="DQ75" s="141"/>
      <c r="DR75" s="141"/>
      <c r="DS75" s="141"/>
      <c r="DT75" s="141"/>
      <c r="DU75" s="141"/>
      <c r="DV75" s="140">
        <f>'Výkaz výměr'!L76</f>
        <v>1.7</v>
      </c>
      <c r="DW75" s="141"/>
      <c r="DX75" s="141"/>
      <c r="DY75" s="141"/>
      <c r="DZ75" s="141"/>
      <c r="EA75" s="141"/>
      <c r="EB75" s="141"/>
      <c r="EC75" s="141"/>
      <c r="ED75" s="140">
        <f t="shared" si="13"/>
        <v>126.17399999999999</v>
      </c>
      <c r="EE75" s="141"/>
      <c r="EF75" s="141"/>
      <c r="EG75" s="141"/>
      <c r="EH75" s="141"/>
      <c r="EI75" s="141"/>
      <c r="EJ75" s="141"/>
      <c r="EK75" s="141"/>
      <c r="EL75" s="142" t="s">
        <v>559</v>
      </c>
      <c r="EM75" s="143"/>
      <c r="EN75" s="143"/>
      <c r="EO75" s="143"/>
      <c r="EP75" s="143"/>
      <c r="EQ75" s="143"/>
      <c r="IR75" s="43">
        <f>CP75*0.481870437956204</f>
        <v>0</v>
      </c>
      <c r="IS75" s="43">
        <f>CP75*(1-0.481870437956204)</f>
        <v>0</v>
      </c>
    </row>
    <row r="76" spans="1:253" ht="12.75">
      <c r="A76" s="142" t="s">
        <v>63</v>
      </c>
      <c r="B76" s="143"/>
      <c r="C76" s="142" t="s">
        <v>198</v>
      </c>
      <c r="D76" s="143"/>
      <c r="E76" s="143"/>
      <c r="F76" s="142" t="s">
        <v>258</v>
      </c>
      <c r="G76" s="143"/>
      <c r="H76" s="143"/>
      <c r="I76" s="143"/>
      <c r="J76" s="143"/>
      <c r="K76" s="143"/>
      <c r="L76" s="142" t="s">
        <v>412</v>
      </c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2" t="s">
        <v>530</v>
      </c>
      <c r="AT76" s="143"/>
      <c r="AU76" s="142" t="s">
        <v>655</v>
      </c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0">
        <f>'Výkaz výměr'!F78</f>
        <v>247</v>
      </c>
      <c r="CL76" s="141"/>
      <c r="CM76" s="141"/>
      <c r="CN76" s="141"/>
      <c r="CO76" s="141"/>
      <c r="CP76" s="140">
        <f>'Výkaz výměr'!G78</f>
        <v>0</v>
      </c>
      <c r="CQ76" s="141"/>
      <c r="CR76" s="141"/>
      <c r="CS76" s="141"/>
      <c r="CT76" s="141"/>
      <c r="CU76" s="141"/>
      <c r="CV76" s="141"/>
      <c r="CW76" s="141"/>
      <c r="CX76" s="140">
        <f t="shared" si="10"/>
        <v>0</v>
      </c>
      <c r="CY76" s="141"/>
      <c r="CZ76" s="141"/>
      <c r="DA76" s="141"/>
      <c r="DB76" s="141"/>
      <c r="DC76" s="141"/>
      <c r="DD76" s="141"/>
      <c r="DE76" s="141"/>
      <c r="DF76" s="140">
        <f t="shared" si="11"/>
        <v>0</v>
      </c>
      <c r="DG76" s="141"/>
      <c r="DH76" s="141"/>
      <c r="DI76" s="141"/>
      <c r="DJ76" s="141"/>
      <c r="DK76" s="141"/>
      <c r="DL76" s="141"/>
      <c r="DM76" s="141"/>
      <c r="DN76" s="140">
        <f t="shared" si="12"/>
        <v>0</v>
      </c>
      <c r="DO76" s="141"/>
      <c r="DP76" s="141"/>
      <c r="DQ76" s="141"/>
      <c r="DR76" s="141"/>
      <c r="DS76" s="141"/>
      <c r="DT76" s="141"/>
      <c r="DU76" s="141"/>
      <c r="DV76" s="140">
        <f>'Výkaz výměr'!L78</f>
        <v>0</v>
      </c>
      <c r="DW76" s="141"/>
      <c r="DX76" s="141"/>
      <c r="DY76" s="141"/>
      <c r="DZ76" s="141"/>
      <c r="EA76" s="141"/>
      <c r="EB76" s="141"/>
      <c r="EC76" s="141"/>
      <c r="ED76" s="140">
        <f t="shared" si="13"/>
        <v>0</v>
      </c>
      <c r="EE76" s="141"/>
      <c r="EF76" s="141"/>
      <c r="EG76" s="141"/>
      <c r="EH76" s="141"/>
      <c r="EI76" s="141"/>
      <c r="EJ76" s="141"/>
      <c r="EK76" s="141"/>
      <c r="EL76" s="142" t="s">
        <v>559</v>
      </c>
      <c r="EM76" s="143"/>
      <c r="EN76" s="143"/>
      <c r="EO76" s="143"/>
      <c r="EP76" s="143"/>
      <c r="EQ76" s="143"/>
      <c r="IR76" s="43">
        <f>CP76*0</f>
        <v>0</v>
      </c>
      <c r="IS76" s="43">
        <f>CP76*(1-0)</f>
        <v>0</v>
      </c>
    </row>
    <row r="77" spans="1:253" ht="12.75">
      <c r="A77" s="132" t="s">
        <v>64</v>
      </c>
      <c r="B77" s="133"/>
      <c r="C77" s="132" t="s">
        <v>198</v>
      </c>
      <c r="D77" s="133"/>
      <c r="E77" s="133"/>
      <c r="F77" s="132" t="s">
        <v>259</v>
      </c>
      <c r="G77" s="133"/>
      <c r="H77" s="133"/>
      <c r="I77" s="133"/>
      <c r="J77" s="133"/>
      <c r="K77" s="133"/>
      <c r="L77" s="132" t="s">
        <v>413</v>
      </c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2" t="s">
        <v>529</v>
      </c>
      <c r="AT77" s="133"/>
      <c r="AU77" s="132" t="s">
        <v>656</v>
      </c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0">
        <f>'Výkaz výměr'!F79</f>
        <v>419.9</v>
      </c>
      <c r="CL77" s="131"/>
      <c r="CM77" s="131"/>
      <c r="CN77" s="131"/>
      <c r="CO77" s="131"/>
      <c r="CP77" s="130">
        <f>'Výkaz výměr'!G79</f>
        <v>0</v>
      </c>
      <c r="CQ77" s="131"/>
      <c r="CR77" s="131"/>
      <c r="CS77" s="131"/>
      <c r="CT77" s="131"/>
      <c r="CU77" s="131"/>
      <c r="CV77" s="131"/>
      <c r="CW77" s="131"/>
      <c r="CX77" s="130">
        <f t="shared" si="10"/>
        <v>0</v>
      </c>
      <c r="CY77" s="131"/>
      <c r="CZ77" s="131"/>
      <c r="DA77" s="131"/>
      <c r="DB77" s="131"/>
      <c r="DC77" s="131"/>
      <c r="DD77" s="131"/>
      <c r="DE77" s="131"/>
      <c r="DF77" s="130">
        <f t="shared" si="11"/>
        <v>0</v>
      </c>
      <c r="DG77" s="131"/>
      <c r="DH77" s="131"/>
      <c r="DI77" s="131"/>
      <c r="DJ77" s="131"/>
      <c r="DK77" s="131"/>
      <c r="DL77" s="131"/>
      <c r="DM77" s="131"/>
      <c r="DN77" s="130">
        <f t="shared" si="12"/>
        <v>0</v>
      </c>
      <c r="DO77" s="131"/>
      <c r="DP77" s="131"/>
      <c r="DQ77" s="131"/>
      <c r="DR77" s="131"/>
      <c r="DS77" s="131"/>
      <c r="DT77" s="131"/>
      <c r="DU77" s="131"/>
      <c r="DV77" s="130">
        <f>'Výkaz výměr'!L79</f>
        <v>1</v>
      </c>
      <c r="DW77" s="131"/>
      <c r="DX77" s="131"/>
      <c r="DY77" s="131"/>
      <c r="DZ77" s="131"/>
      <c r="EA77" s="131"/>
      <c r="EB77" s="131"/>
      <c r="EC77" s="131"/>
      <c r="ED77" s="130">
        <f t="shared" si="13"/>
        <v>419.9</v>
      </c>
      <c r="EE77" s="131"/>
      <c r="EF77" s="131"/>
      <c r="EG77" s="131"/>
      <c r="EH77" s="131"/>
      <c r="EI77" s="131"/>
      <c r="EJ77" s="131"/>
      <c r="EK77" s="131"/>
      <c r="EL77" s="132" t="s">
        <v>559</v>
      </c>
      <c r="EM77" s="133"/>
      <c r="EN77" s="133"/>
      <c r="EO77" s="133"/>
      <c r="EP77" s="133"/>
      <c r="EQ77" s="133"/>
      <c r="IR77" s="42">
        <f>CP77*1</f>
        <v>0</v>
      </c>
      <c r="IS77" s="42">
        <f>CP77*(1-1)</f>
        <v>0</v>
      </c>
    </row>
    <row r="78" spans="1:253" ht="12.75">
      <c r="A78" s="142" t="s">
        <v>65</v>
      </c>
      <c r="B78" s="143"/>
      <c r="C78" s="142" t="s">
        <v>198</v>
      </c>
      <c r="D78" s="143"/>
      <c r="E78" s="143"/>
      <c r="F78" s="142" t="s">
        <v>260</v>
      </c>
      <c r="G78" s="143"/>
      <c r="H78" s="143"/>
      <c r="I78" s="143"/>
      <c r="J78" s="143"/>
      <c r="K78" s="143"/>
      <c r="L78" s="142" t="s">
        <v>414</v>
      </c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2" t="s">
        <v>530</v>
      </c>
      <c r="AT78" s="143"/>
      <c r="AU78" s="142" t="s">
        <v>657</v>
      </c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0">
        <f>'Výkaz výměr'!F80</f>
        <v>17.05</v>
      </c>
      <c r="CL78" s="141"/>
      <c r="CM78" s="141"/>
      <c r="CN78" s="141"/>
      <c r="CO78" s="141"/>
      <c r="CP78" s="140">
        <f>'Výkaz výměr'!G80</f>
        <v>0</v>
      </c>
      <c r="CQ78" s="141"/>
      <c r="CR78" s="141"/>
      <c r="CS78" s="141"/>
      <c r="CT78" s="141"/>
      <c r="CU78" s="141"/>
      <c r="CV78" s="141"/>
      <c r="CW78" s="141"/>
      <c r="CX78" s="140">
        <f t="shared" si="10"/>
        <v>0</v>
      </c>
      <c r="CY78" s="141"/>
      <c r="CZ78" s="141"/>
      <c r="DA78" s="141"/>
      <c r="DB78" s="141"/>
      <c r="DC78" s="141"/>
      <c r="DD78" s="141"/>
      <c r="DE78" s="141"/>
      <c r="DF78" s="140">
        <f t="shared" si="11"/>
        <v>0</v>
      </c>
      <c r="DG78" s="141"/>
      <c r="DH78" s="141"/>
      <c r="DI78" s="141"/>
      <c r="DJ78" s="141"/>
      <c r="DK78" s="141"/>
      <c r="DL78" s="141"/>
      <c r="DM78" s="141"/>
      <c r="DN78" s="140">
        <f t="shared" si="12"/>
        <v>0</v>
      </c>
      <c r="DO78" s="141"/>
      <c r="DP78" s="141"/>
      <c r="DQ78" s="141"/>
      <c r="DR78" s="141"/>
      <c r="DS78" s="141"/>
      <c r="DT78" s="141"/>
      <c r="DU78" s="141"/>
      <c r="DV78" s="140">
        <f>'Výkaz výměr'!L80</f>
        <v>0</v>
      </c>
      <c r="DW78" s="141"/>
      <c r="DX78" s="141"/>
      <c r="DY78" s="141"/>
      <c r="DZ78" s="141"/>
      <c r="EA78" s="141"/>
      <c r="EB78" s="141"/>
      <c r="EC78" s="141"/>
      <c r="ED78" s="140">
        <f t="shared" si="13"/>
        <v>0</v>
      </c>
      <c r="EE78" s="141"/>
      <c r="EF78" s="141"/>
      <c r="EG78" s="141"/>
      <c r="EH78" s="141"/>
      <c r="EI78" s="141"/>
      <c r="EJ78" s="141"/>
      <c r="EK78" s="141"/>
      <c r="EL78" s="142" t="s">
        <v>559</v>
      </c>
      <c r="EM78" s="143"/>
      <c r="EN78" s="143"/>
      <c r="EO78" s="143"/>
      <c r="EP78" s="143"/>
      <c r="EQ78" s="143"/>
      <c r="IR78" s="43">
        <f>CP78*0</f>
        <v>0</v>
      </c>
      <c r="IS78" s="43">
        <f>CP78*(1-0)</f>
        <v>0</v>
      </c>
    </row>
    <row r="79" spans="1:253" ht="12.75">
      <c r="A79" s="132" t="s">
        <v>66</v>
      </c>
      <c r="B79" s="133"/>
      <c r="C79" s="132" t="s">
        <v>198</v>
      </c>
      <c r="D79" s="133"/>
      <c r="E79" s="133"/>
      <c r="F79" s="132" t="s">
        <v>261</v>
      </c>
      <c r="G79" s="133"/>
      <c r="H79" s="133"/>
      <c r="I79" s="133"/>
      <c r="J79" s="133"/>
      <c r="K79" s="133"/>
      <c r="L79" s="132" t="s">
        <v>415</v>
      </c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2" t="s">
        <v>533</v>
      </c>
      <c r="AT79" s="133"/>
      <c r="AU79" s="132" t="s">
        <v>658</v>
      </c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0">
        <f>'Výkaz výměr'!F81</f>
        <v>4</v>
      </c>
      <c r="CL79" s="131"/>
      <c r="CM79" s="131"/>
      <c r="CN79" s="131"/>
      <c r="CO79" s="131"/>
      <c r="CP79" s="130">
        <f>'Výkaz výměr'!G81</f>
        <v>0</v>
      </c>
      <c r="CQ79" s="131"/>
      <c r="CR79" s="131"/>
      <c r="CS79" s="131"/>
      <c r="CT79" s="131"/>
      <c r="CU79" s="131"/>
      <c r="CV79" s="131"/>
      <c r="CW79" s="131"/>
      <c r="CX79" s="130">
        <f t="shared" si="10"/>
        <v>0</v>
      </c>
      <c r="CY79" s="131"/>
      <c r="CZ79" s="131"/>
      <c r="DA79" s="131"/>
      <c r="DB79" s="131"/>
      <c r="DC79" s="131"/>
      <c r="DD79" s="131"/>
      <c r="DE79" s="131"/>
      <c r="DF79" s="130">
        <f t="shared" si="11"/>
        <v>0</v>
      </c>
      <c r="DG79" s="131"/>
      <c r="DH79" s="131"/>
      <c r="DI79" s="131"/>
      <c r="DJ79" s="131"/>
      <c r="DK79" s="131"/>
      <c r="DL79" s="131"/>
      <c r="DM79" s="131"/>
      <c r="DN79" s="130">
        <f t="shared" si="12"/>
        <v>0</v>
      </c>
      <c r="DO79" s="131"/>
      <c r="DP79" s="131"/>
      <c r="DQ79" s="131"/>
      <c r="DR79" s="131"/>
      <c r="DS79" s="131"/>
      <c r="DT79" s="131"/>
      <c r="DU79" s="131"/>
      <c r="DV79" s="130">
        <f>'Výkaz výměr'!L81</f>
        <v>0.0075</v>
      </c>
      <c r="DW79" s="131"/>
      <c r="DX79" s="131"/>
      <c r="DY79" s="131"/>
      <c r="DZ79" s="131"/>
      <c r="EA79" s="131"/>
      <c r="EB79" s="131"/>
      <c r="EC79" s="131"/>
      <c r="ED79" s="130">
        <f t="shared" si="13"/>
        <v>0.03</v>
      </c>
      <c r="EE79" s="131"/>
      <c r="EF79" s="131"/>
      <c r="EG79" s="131"/>
      <c r="EH79" s="131"/>
      <c r="EI79" s="131"/>
      <c r="EJ79" s="131"/>
      <c r="EK79" s="131"/>
      <c r="EL79" s="132"/>
      <c r="EM79" s="133"/>
      <c r="EN79" s="133"/>
      <c r="EO79" s="133"/>
      <c r="EP79" s="133"/>
      <c r="EQ79" s="133"/>
      <c r="IR79" s="42">
        <f aca="true" t="shared" si="14" ref="IR79:IR84">CP79*1</f>
        <v>0</v>
      </c>
      <c r="IS79" s="42">
        <f aca="true" t="shared" si="15" ref="IS79:IS84">CP79*(1-1)</f>
        <v>0</v>
      </c>
    </row>
    <row r="80" spans="1:253" ht="12.75">
      <c r="A80" s="132" t="s">
        <v>67</v>
      </c>
      <c r="B80" s="133"/>
      <c r="C80" s="132" t="s">
        <v>198</v>
      </c>
      <c r="D80" s="133"/>
      <c r="E80" s="133"/>
      <c r="F80" s="132" t="s">
        <v>262</v>
      </c>
      <c r="G80" s="133"/>
      <c r="H80" s="133"/>
      <c r="I80" s="133"/>
      <c r="J80" s="133"/>
      <c r="K80" s="133"/>
      <c r="L80" s="132" t="s">
        <v>416</v>
      </c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2" t="s">
        <v>533</v>
      </c>
      <c r="AT80" s="133"/>
      <c r="AU80" s="132" t="s">
        <v>659</v>
      </c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0">
        <f>'Výkaz výměr'!F82</f>
        <v>2</v>
      </c>
      <c r="CL80" s="131"/>
      <c r="CM80" s="131"/>
      <c r="CN80" s="131"/>
      <c r="CO80" s="131"/>
      <c r="CP80" s="130">
        <f>'Výkaz výměr'!G82</f>
        <v>0</v>
      </c>
      <c r="CQ80" s="131"/>
      <c r="CR80" s="131"/>
      <c r="CS80" s="131"/>
      <c r="CT80" s="131"/>
      <c r="CU80" s="131"/>
      <c r="CV80" s="131"/>
      <c r="CW80" s="131"/>
      <c r="CX80" s="130">
        <f t="shared" si="10"/>
        <v>0</v>
      </c>
      <c r="CY80" s="131"/>
      <c r="CZ80" s="131"/>
      <c r="DA80" s="131"/>
      <c r="DB80" s="131"/>
      <c r="DC80" s="131"/>
      <c r="DD80" s="131"/>
      <c r="DE80" s="131"/>
      <c r="DF80" s="130">
        <f t="shared" si="11"/>
        <v>0</v>
      </c>
      <c r="DG80" s="131"/>
      <c r="DH80" s="131"/>
      <c r="DI80" s="131"/>
      <c r="DJ80" s="131"/>
      <c r="DK80" s="131"/>
      <c r="DL80" s="131"/>
      <c r="DM80" s="131"/>
      <c r="DN80" s="130">
        <f t="shared" si="12"/>
        <v>0</v>
      </c>
      <c r="DO80" s="131"/>
      <c r="DP80" s="131"/>
      <c r="DQ80" s="131"/>
      <c r="DR80" s="131"/>
      <c r="DS80" s="131"/>
      <c r="DT80" s="131"/>
      <c r="DU80" s="131"/>
      <c r="DV80" s="130">
        <f>'Výkaz výměr'!L82</f>
        <v>0</v>
      </c>
      <c r="DW80" s="131"/>
      <c r="DX80" s="131"/>
      <c r="DY80" s="131"/>
      <c r="DZ80" s="131"/>
      <c r="EA80" s="131"/>
      <c r="EB80" s="131"/>
      <c r="EC80" s="131"/>
      <c r="ED80" s="130">
        <f t="shared" si="13"/>
        <v>0</v>
      </c>
      <c r="EE80" s="131"/>
      <c r="EF80" s="131"/>
      <c r="EG80" s="131"/>
      <c r="EH80" s="131"/>
      <c r="EI80" s="131"/>
      <c r="EJ80" s="131"/>
      <c r="EK80" s="131"/>
      <c r="EL80" s="132"/>
      <c r="EM80" s="133"/>
      <c r="EN80" s="133"/>
      <c r="EO80" s="133"/>
      <c r="EP80" s="133"/>
      <c r="EQ80" s="133"/>
      <c r="IR80" s="42">
        <f t="shared" si="14"/>
        <v>0</v>
      </c>
      <c r="IS80" s="42">
        <f t="shared" si="15"/>
        <v>0</v>
      </c>
    </row>
    <row r="81" spans="1:253" ht="12.75">
      <c r="A81" s="132" t="s">
        <v>68</v>
      </c>
      <c r="B81" s="133"/>
      <c r="C81" s="132" t="s">
        <v>198</v>
      </c>
      <c r="D81" s="133"/>
      <c r="E81" s="133"/>
      <c r="F81" s="132" t="s">
        <v>263</v>
      </c>
      <c r="G81" s="133"/>
      <c r="H81" s="133"/>
      <c r="I81" s="133"/>
      <c r="J81" s="133"/>
      <c r="K81" s="133"/>
      <c r="L81" s="132" t="s">
        <v>417</v>
      </c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2" t="s">
        <v>533</v>
      </c>
      <c r="AT81" s="133"/>
      <c r="AU81" s="132" t="s">
        <v>609</v>
      </c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0">
        <f>'Výkaz výměr'!F83</f>
        <v>1</v>
      </c>
      <c r="CL81" s="131"/>
      <c r="CM81" s="131"/>
      <c r="CN81" s="131"/>
      <c r="CO81" s="131"/>
      <c r="CP81" s="130">
        <f>'Výkaz výměr'!G83</f>
        <v>0</v>
      </c>
      <c r="CQ81" s="131"/>
      <c r="CR81" s="131"/>
      <c r="CS81" s="131"/>
      <c r="CT81" s="131"/>
      <c r="CU81" s="131"/>
      <c r="CV81" s="131"/>
      <c r="CW81" s="131"/>
      <c r="CX81" s="130">
        <f t="shared" si="10"/>
        <v>0</v>
      </c>
      <c r="CY81" s="131"/>
      <c r="CZ81" s="131"/>
      <c r="DA81" s="131"/>
      <c r="DB81" s="131"/>
      <c r="DC81" s="131"/>
      <c r="DD81" s="131"/>
      <c r="DE81" s="131"/>
      <c r="DF81" s="130">
        <f t="shared" si="11"/>
        <v>0</v>
      </c>
      <c r="DG81" s="131"/>
      <c r="DH81" s="131"/>
      <c r="DI81" s="131"/>
      <c r="DJ81" s="131"/>
      <c r="DK81" s="131"/>
      <c r="DL81" s="131"/>
      <c r="DM81" s="131"/>
      <c r="DN81" s="130">
        <f t="shared" si="12"/>
        <v>0</v>
      </c>
      <c r="DO81" s="131"/>
      <c r="DP81" s="131"/>
      <c r="DQ81" s="131"/>
      <c r="DR81" s="131"/>
      <c r="DS81" s="131"/>
      <c r="DT81" s="131"/>
      <c r="DU81" s="131"/>
      <c r="DV81" s="130">
        <f>'Výkaz výměr'!L83</f>
        <v>0.025</v>
      </c>
      <c r="DW81" s="131"/>
      <c r="DX81" s="131"/>
      <c r="DY81" s="131"/>
      <c r="DZ81" s="131"/>
      <c r="EA81" s="131"/>
      <c r="EB81" s="131"/>
      <c r="EC81" s="131"/>
      <c r="ED81" s="130">
        <f t="shared" si="13"/>
        <v>0.025</v>
      </c>
      <c r="EE81" s="131"/>
      <c r="EF81" s="131"/>
      <c r="EG81" s="131"/>
      <c r="EH81" s="131"/>
      <c r="EI81" s="131"/>
      <c r="EJ81" s="131"/>
      <c r="EK81" s="131"/>
      <c r="EL81" s="132"/>
      <c r="EM81" s="133"/>
      <c r="EN81" s="133"/>
      <c r="EO81" s="133"/>
      <c r="EP81" s="133"/>
      <c r="EQ81" s="133"/>
      <c r="IR81" s="42">
        <f t="shared" si="14"/>
        <v>0</v>
      </c>
      <c r="IS81" s="42">
        <f t="shared" si="15"/>
        <v>0</v>
      </c>
    </row>
    <row r="82" spans="1:253" ht="12.75">
      <c r="A82" s="132" t="s">
        <v>69</v>
      </c>
      <c r="B82" s="133"/>
      <c r="C82" s="132" t="s">
        <v>198</v>
      </c>
      <c r="D82" s="133"/>
      <c r="E82" s="133"/>
      <c r="F82" s="132" t="s">
        <v>264</v>
      </c>
      <c r="G82" s="133"/>
      <c r="H82" s="133"/>
      <c r="I82" s="133"/>
      <c r="J82" s="133"/>
      <c r="K82" s="133"/>
      <c r="L82" s="132" t="s">
        <v>418</v>
      </c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2" t="s">
        <v>533</v>
      </c>
      <c r="AT82" s="133"/>
      <c r="AU82" s="132" t="s">
        <v>642</v>
      </c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0">
        <f>'Výkaz výměr'!F84</f>
        <v>2</v>
      </c>
      <c r="CL82" s="131"/>
      <c r="CM82" s="131"/>
      <c r="CN82" s="131"/>
      <c r="CO82" s="131"/>
      <c r="CP82" s="130">
        <f>'Výkaz výměr'!G84</f>
        <v>0</v>
      </c>
      <c r="CQ82" s="131"/>
      <c r="CR82" s="131"/>
      <c r="CS82" s="131"/>
      <c r="CT82" s="131"/>
      <c r="CU82" s="131"/>
      <c r="CV82" s="131"/>
      <c r="CW82" s="131"/>
      <c r="CX82" s="130">
        <f t="shared" si="10"/>
        <v>0</v>
      </c>
      <c r="CY82" s="131"/>
      <c r="CZ82" s="131"/>
      <c r="DA82" s="131"/>
      <c r="DB82" s="131"/>
      <c r="DC82" s="131"/>
      <c r="DD82" s="131"/>
      <c r="DE82" s="131"/>
      <c r="DF82" s="130">
        <f t="shared" si="11"/>
        <v>0</v>
      </c>
      <c r="DG82" s="131"/>
      <c r="DH82" s="131"/>
      <c r="DI82" s="131"/>
      <c r="DJ82" s="131"/>
      <c r="DK82" s="131"/>
      <c r="DL82" s="131"/>
      <c r="DM82" s="131"/>
      <c r="DN82" s="130">
        <f t="shared" si="12"/>
        <v>0</v>
      </c>
      <c r="DO82" s="131"/>
      <c r="DP82" s="131"/>
      <c r="DQ82" s="131"/>
      <c r="DR82" s="131"/>
      <c r="DS82" s="131"/>
      <c r="DT82" s="131"/>
      <c r="DU82" s="131"/>
      <c r="DV82" s="130">
        <f>'Výkaz výměr'!L84</f>
        <v>0.025</v>
      </c>
      <c r="DW82" s="131"/>
      <c r="DX82" s="131"/>
      <c r="DY82" s="131"/>
      <c r="DZ82" s="131"/>
      <c r="EA82" s="131"/>
      <c r="EB82" s="131"/>
      <c r="EC82" s="131"/>
      <c r="ED82" s="130">
        <f t="shared" si="13"/>
        <v>0.05</v>
      </c>
      <c r="EE82" s="131"/>
      <c r="EF82" s="131"/>
      <c r="EG82" s="131"/>
      <c r="EH82" s="131"/>
      <c r="EI82" s="131"/>
      <c r="EJ82" s="131"/>
      <c r="EK82" s="131"/>
      <c r="EL82" s="132"/>
      <c r="EM82" s="133"/>
      <c r="EN82" s="133"/>
      <c r="EO82" s="133"/>
      <c r="EP82" s="133"/>
      <c r="EQ82" s="133"/>
      <c r="IR82" s="42">
        <f t="shared" si="14"/>
        <v>0</v>
      </c>
      <c r="IS82" s="42">
        <f t="shared" si="15"/>
        <v>0</v>
      </c>
    </row>
    <row r="83" spans="1:253" ht="12.75">
      <c r="A83" s="132" t="s">
        <v>70</v>
      </c>
      <c r="B83" s="133"/>
      <c r="C83" s="132" t="s">
        <v>198</v>
      </c>
      <c r="D83" s="133"/>
      <c r="E83" s="133"/>
      <c r="F83" s="132" t="s">
        <v>263</v>
      </c>
      <c r="G83" s="133"/>
      <c r="H83" s="133"/>
      <c r="I83" s="133"/>
      <c r="J83" s="133"/>
      <c r="K83" s="133"/>
      <c r="L83" s="132" t="s">
        <v>419</v>
      </c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2" t="s">
        <v>533</v>
      </c>
      <c r="AT83" s="133"/>
      <c r="AU83" s="132" t="s">
        <v>609</v>
      </c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0">
        <f>'Výkaz výměr'!F85</f>
        <v>1</v>
      </c>
      <c r="CL83" s="131"/>
      <c r="CM83" s="131"/>
      <c r="CN83" s="131"/>
      <c r="CO83" s="131"/>
      <c r="CP83" s="130">
        <f>'Výkaz výměr'!G85</f>
        <v>0</v>
      </c>
      <c r="CQ83" s="131"/>
      <c r="CR83" s="131"/>
      <c r="CS83" s="131"/>
      <c r="CT83" s="131"/>
      <c r="CU83" s="131"/>
      <c r="CV83" s="131"/>
      <c r="CW83" s="131"/>
      <c r="CX83" s="130">
        <f t="shared" si="10"/>
        <v>0</v>
      </c>
      <c r="CY83" s="131"/>
      <c r="CZ83" s="131"/>
      <c r="DA83" s="131"/>
      <c r="DB83" s="131"/>
      <c r="DC83" s="131"/>
      <c r="DD83" s="131"/>
      <c r="DE83" s="131"/>
      <c r="DF83" s="130">
        <f t="shared" si="11"/>
        <v>0</v>
      </c>
      <c r="DG83" s="131"/>
      <c r="DH83" s="131"/>
      <c r="DI83" s="131"/>
      <c r="DJ83" s="131"/>
      <c r="DK83" s="131"/>
      <c r="DL83" s="131"/>
      <c r="DM83" s="131"/>
      <c r="DN83" s="130">
        <f t="shared" si="12"/>
        <v>0</v>
      </c>
      <c r="DO83" s="131"/>
      <c r="DP83" s="131"/>
      <c r="DQ83" s="131"/>
      <c r="DR83" s="131"/>
      <c r="DS83" s="131"/>
      <c r="DT83" s="131"/>
      <c r="DU83" s="131"/>
      <c r="DV83" s="130">
        <f>'Výkaz výměr'!L85</f>
        <v>0.025</v>
      </c>
      <c r="DW83" s="131"/>
      <c r="DX83" s="131"/>
      <c r="DY83" s="131"/>
      <c r="DZ83" s="131"/>
      <c r="EA83" s="131"/>
      <c r="EB83" s="131"/>
      <c r="EC83" s="131"/>
      <c r="ED83" s="130">
        <f t="shared" si="13"/>
        <v>0.025</v>
      </c>
      <c r="EE83" s="131"/>
      <c r="EF83" s="131"/>
      <c r="EG83" s="131"/>
      <c r="EH83" s="131"/>
      <c r="EI83" s="131"/>
      <c r="EJ83" s="131"/>
      <c r="EK83" s="131"/>
      <c r="EL83" s="132"/>
      <c r="EM83" s="133"/>
      <c r="EN83" s="133"/>
      <c r="EO83" s="133"/>
      <c r="EP83" s="133"/>
      <c r="EQ83" s="133"/>
      <c r="IR83" s="42">
        <f t="shared" si="14"/>
        <v>0</v>
      </c>
      <c r="IS83" s="42">
        <f t="shared" si="15"/>
        <v>0</v>
      </c>
    </row>
    <row r="84" spans="1:253" ht="12.75">
      <c r="A84" s="132" t="s">
        <v>71</v>
      </c>
      <c r="B84" s="133"/>
      <c r="C84" s="132" t="s">
        <v>198</v>
      </c>
      <c r="D84" s="133"/>
      <c r="E84" s="133"/>
      <c r="F84" s="132" t="s">
        <v>265</v>
      </c>
      <c r="G84" s="133"/>
      <c r="H84" s="133"/>
      <c r="I84" s="133"/>
      <c r="J84" s="133"/>
      <c r="K84" s="133"/>
      <c r="L84" s="132" t="s">
        <v>420</v>
      </c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2" t="s">
        <v>533</v>
      </c>
      <c r="AT84" s="133"/>
      <c r="AU84" s="132" t="s">
        <v>642</v>
      </c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0">
        <f>'Výkaz výměr'!F86</f>
        <v>2</v>
      </c>
      <c r="CL84" s="131"/>
      <c r="CM84" s="131"/>
      <c r="CN84" s="131"/>
      <c r="CO84" s="131"/>
      <c r="CP84" s="130">
        <f>'Výkaz výměr'!G86</f>
        <v>0</v>
      </c>
      <c r="CQ84" s="131"/>
      <c r="CR84" s="131"/>
      <c r="CS84" s="131"/>
      <c r="CT84" s="131"/>
      <c r="CU84" s="131"/>
      <c r="CV84" s="131"/>
      <c r="CW84" s="131"/>
      <c r="CX84" s="130">
        <f t="shared" si="10"/>
        <v>0</v>
      </c>
      <c r="CY84" s="131"/>
      <c r="CZ84" s="131"/>
      <c r="DA84" s="131"/>
      <c r="DB84" s="131"/>
      <c r="DC84" s="131"/>
      <c r="DD84" s="131"/>
      <c r="DE84" s="131"/>
      <c r="DF84" s="130">
        <f t="shared" si="11"/>
        <v>0</v>
      </c>
      <c r="DG84" s="131"/>
      <c r="DH84" s="131"/>
      <c r="DI84" s="131"/>
      <c r="DJ84" s="131"/>
      <c r="DK84" s="131"/>
      <c r="DL84" s="131"/>
      <c r="DM84" s="131"/>
      <c r="DN84" s="130">
        <f t="shared" si="12"/>
        <v>0</v>
      </c>
      <c r="DO84" s="131"/>
      <c r="DP84" s="131"/>
      <c r="DQ84" s="131"/>
      <c r="DR84" s="131"/>
      <c r="DS84" s="131"/>
      <c r="DT84" s="131"/>
      <c r="DU84" s="131"/>
      <c r="DV84" s="130">
        <f>'Výkaz výměr'!L86</f>
        <v>0.039</v>
      </c>
      <c r="DW84" s="131"/>
      <c r="DX84" s="131"/>
      <c r="DY84" s="131"/>
      <c r="DZ84" s="131"/>
      <c r="EA84" s="131"/>
      <c r="EB84" s="131"/>
      <c r="EC84" s="131"/>
      <c r="ED84" s="130">
        <f t="shared" si="13"/>
        <v>0.078</v>
      </c>
      <c r="EE84" s="131"/>
      <c r="EF84" s="131"/>
      <c r="EG84" s="131"/>
      <c r="EH84" s="131"/>
      <c r="EI84" s="131"/>
      <c r="EJ84" s="131"/>
      <c r="EK84" s="131"/>
      <c r="EL84" s="132"/>
      <c r="EM84" s="133"/>
      <c r="EN84" s="133"/>
      <c r="EO84" s="133"/>
      <c r="EP84" s="133"/>
      <c r="EQ84" s="133"/>
      <c r="IR84" s="42">
        <f t="shared" si="14"/>
        <v>0</v>
      </c>
      <c r="IS84" s="42">
        <f t="shared" si="15"/>
        <v>0</v>
      </c>
    </row>
    <row r="85" spans="1:253" ht="12.75">
      <c r="A85" s="142" t="s">
        <v>72</v>
      </c>
      <c r="B85" s="143"/>
      <c r="C85" s="142" t="s">
        <v>198</v>
      </c>
      <c r="D85" s="143"/>
      <c r="E85" s="143"/>
      <c r="F85" s="142" t="s">
        <v>266</v>
      </c>
      <c r="G85" s="143"/>
      <c r="H85" s="143"/>
      <c r="I85" s="143"/>
      <c r="J85" s="143"/>
      <c r="K85" s="143"/>
      <c r="L85" s="142" t="s">
        <v>421</v>
      </c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2" t="s">
        <v>534</v>
      </c>
      <c r="AT85" s="143"/>
      <c r="AU85" s="142" t="s">
        <v>660</v>
      </c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0">
        <f>'Výkaz výměr'!F87</f>
        <v>2</v>
      </c>
      <c r="CL85" s="141"/>
      <c r="CM85" s="141"/>
      <c r="CN85" s="141"/>
      <c r="CO85" s="141"/>
      <c r="CP85" s="140">
        <f>'Výkaz výměr'!G87</f>
        <v>0</v>
      </c>
      <c r="CQ85" s="141"/>
      <c r="CR85" s="141"/>
      <c r="CS85" s="141"/>
      <c r="CT85" s="141"/>
      <c r="CU85" s="141"/>
      <c r="CV85" s="141"/>
      <c r="CW85" s="141"/>
      <c r="CX85" s="140">
        <f t="shared" si="10"/>
        <v>0</v>
      </c>
      <c r="CY85" s="141"/>
      <c r="CZ85" s="141"/>
      <c r="DA85" s="141"/>
      <c r="DB85" s="141"/>
      <c r="DC85" s="141"/>
      <c r="DD85" s="141"/>
      <c r="DE85" s="141"/>
      <c r="DF85" s="140">
        <f t="shared" si="11"/>
        <v>0</v>
      </c>
      <c r="DG85" s="141"/>
      <c r="DH85" s="141"/>
      <c r="DI85" s="141"/>
      <c r="DJ85" s="141"/>
      <c r="DK85" s="141"/>
      <c r="DL85" s="141"/>
      <c r="DM85" s="141"/>
      <c r="DN85" s="140">
        <f t="shared" si="12"/>
        <v>0</v>
      </c>
      <c r="DO85" s="141"/>
      <c r="DP85" s="141"/>
      <c r="DQ85" s="141"/>
      <c r="DR85" s="141"/>
      <c r="DS85" s="141"/>
      <c r="DT85" s="141"/>
      <c r="DU85" s="141"/>
      <c r="DV85" s="140">
        <f>'Výkaz výměr'!L87</f>
        <v>0.00011</v>
      </c>
      <c r="DW85" s="141"/>
      <c r="DX85" s="141"/>
      <c r="DY85" s="141"/>
      <c r="DZ85" s="141"/>
      <c r="EA85" s="141"/>
      <c r="EB85" s="141"/>
      <c r="EC85" s="141"/>
      <c r="ED85" s="140">
        <f t="shared" si="13"/>
        <v>0.00022</v>
      </c>
      <c r="EE85" s="141"/>
      <c r="EF85" s="141"/>
      <c r="EG85" s="141"/>
      <c r="EH85" s="141"/>
      <c r="EI85" s="141"/>
      <c r="EJ85" s="141"/>
      <c r="EK85" s="141"/>
      <c r="EL85" s="142" t="s">
        <v>559</v>
      </c>
      <c r="EM85" s="143"/>
      <c r="EN85" s="143"/>
      <c r="EO85" s="143"/>
      <c r="EP85" s="143"/>
      <c r="EQ85" s="143"/>
      <c r="IR85" s="43">
        <f>CP85*0.1054</f>
        <v>0</v>
      </c>
      <c r="IS85" s="43">
        <f>CP85*(1-0.1054)</f>
        <v>0</v>
      </c>
    </row>
    <row r="86" spans="1:253" ht="12.75">
      <c r="A86" s="132" t="s">
        <v>73</v>
      </c>
      <c r="B86" s="133"/>
      <c r="C86" s="132" t="s">
        <v>198</v>
      </c>
      <c r="D86" s="133"/>
      <c r="E86" s="133"/>
      <c r="F86" s="132" t="s">
        <v>267</v>
      </c>
      <c r="G86" s="133"/>
      <c r="H86" s="133"/>
      <c r="I86" s="133"/>
      <c r="J86" s="133"/>
      <c r="K86" s="133"/>
      <c r="L86" s="132" t="s">
        <v>422</v>
      </c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2" t="s">
        <v>533</v>
      </c>
      <c r="AT86" s="133"/>
      <c r="AU86" s="132" t="s">
        <v>642</v>
      </c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0">
        <f>'Výkaz výměr'!F88</f>
        <v>2</v>
      </c>
      <c r="CL86" s="131"/>
      <c r="CM86" s="131"/>
      <c r="CN86" s="131"/>
      <c r="CO86" s="131"/>
      <c r="CP86" s="130">
        <f>'Výkaz výměr'!G88</f>
        <v>0</v>
      </c>
      <c r="CQ86" s="131"/>
      <c r="CR86" s="131"/>
      <c r="CS86" s="131"/>
      <c r="CT86" s="131"/>
      <c r="CU86" s="131"/>
      <c r="CV86" s="131"/>
      <c r="CW86" s="131"/>
      <c r="CX86" s="130">
        <f t="shared" si="10"/>
        <v>0</v>
      </c>
      <c r="CY86" s="131"/>
      <c r="CZ86" s="131"/>
      <c r="DA86" s="131"/>
      <c r="DB86" s="131"/>
      <c r="DC86" s="131"/>
      <c r="DD86" s="131"/>
      <c r="DE86" s="131"/>
      <c r="DF86" s="130">
        <f t="shared" si="11"/>
        <v>0</v>
      </c>
      <c r="DG86" s="131"/>
      <c r="DH86" s="131"/>
      <c r="DI86" s="131"/>
      <c r="DJ86" s="131"/>
      <c r="DK86" s="131"/>
      <c r="DL86" s="131"/>
      <c r="DM86" s="131"/>
      <c r="DN86" s="130">
        <f t="shared" si="12"/>
        <v>0</v>
      </c>
      <c r="DO86" s="131"/>
      <c r="DP86" s="131"/>
      <c r="DQ86" s="131"/>
      <c r="DR86" s="131"/>
      <c r="DS86" s="131"/>
      <c r="DT86" s="131"/>
      <c r="DU86" s="131"/>
      <c r="DV86" s="130">
        <f>'Výkaz výměr'!L88</f>
        <v>0</v>
      </c>
      <c r="DW86" s="131"/>
      <c r="DX86" s="131"/>
      <c r="DY86" s="131"/>
      <c r="DZ86" s="131"/>
      <c r="EA86" s="131"/>
      <c r="EB86" s="131"/>
      <c r="EC86" s="131"/>
      <c r="ED86" s="130">
        <f t="shared" si="13"/>
        <v>0</v>
      </c>
      <c r="EE86" s="131"/>
      <c r="EF86" s="131"/>
      <c r="EG86" s="131"/>
      <c r="EH86" s="131"/>
      <c r="EI86" s="131"/>
      <c r="EJ86" s="131"/>
      <c r="EK86" s="131"/>
      <c r="EL86" s="132"/>
      <c r="EM86" s="133"/>
      <c r="EN86" s="133"/>
      <c r="EO86" s="133"/>
      <c r="EP86" s="133"/>
      <c r="EQ86" s="133"/>
      <c r="IR86" s="42">
        <f>CP86*1</f>
        <v>0</v>
      </c>
      <c r="IS86" s="42">
        <f>CP86*(1-1)</f>
        <v>0</v>
      </c>
    </row>
    <row r="87" spans="1:253" ht="12.75">
      <c r="A87" s="132" t="s">
        <v>74</v>
      </c>
      <c r="B87" s="133"/>
      <c r="C87" s="132" t="s">
        <v>198</v>
      </c>
      <c r="D87" s="133"/>
      <c r="E87" s="133"/>
      <c r="F87" s="132" t="s">
        <v>268</v>
      </c>
      <c r="G87" s="133"/>
      <c r="H87" s="133"/>
      <c r="I87" s="133"/>
      <c r="J87" s="133"/>
      <c r="K87" s="133"/>
      <c r="L87" s="132" t="s">
        <v>423</v>
      </c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2" t="s">
        <v>534</v>
      </c>
      <c r="AT87" s="133"/>
      <c r="AU87" s="132" t="s">
        <v>642</v>
      </c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0">
        <f>'Výkaz výměr'!F89</f>
        <v>2</v>
      </c>
      <c r="CL87" s="131"/>
      <c r="CM87" s="131"/>
      <c r="CN87" s="131"/>
      <c r="CO87" s="131"/>
      <c r="CP87" s="130">
        <f>'Výkaz výměr'!G89</f>
        <v>0</v>
      </c>
      <c r="CQ87" s="131"/>
      <c r="CR87" s="131"/>
      <c r="CS87" s="131"/>
      <c r="CT87" s="131"/>
      <c r="CU87" s="131"/>
      <c r="CV87" s="131"/>
      <c r="CW87" s="131"/>
      <c r="CX87" s="130">
        <f t="shared" si="10"/>
        <v>0</v>
      </c>
      <c r="CY87" s="131"/>
      <c r="CZ87" s="131"/>
      <c r="DA87" s="131"/>
      <c r="DB87" s="131"/>
      <c r="DC87" s="131"/>
      <c r="DD87" s="131"/>
      <c r="DE87" s="131"/>
      <c r="DF87" s="130">
        <f t="shared" si="11"/>
        <v>0</v>
      </c>
      <c r="DG87" s="131"/>
      <c r="DH87" s="131"/>
      <c r="DI87" s="131"/>
      <c r="DJ87" s="131"/>
      <c r="DK87" s="131"/>
      <c r="DL87" s="131"/>
      <c r="DM87" s="131"/>
      <c r="DN87" s="130">
        <f t="shared" si="12"/>
        <v>0</v>
      </c>
      <c r="DO87" s="131"/>
      <c r="DP87" s="131"/>
      <c r="DQ87" s="131"/>
      <c r="DR87" s="131"/>
      <c r="DS87" s="131"/>
      <c r="DT87" s="131"/>
      <c r="DU87" s="131"/>
      <c r="DV87" s="130">
        <f>'Výkaz výměr'!L89</f>
        <v>0.03</v>
      </c>
      <c r="DW87" s="131"/>
      <c r="DX87" s="131"/>
      <c r="DY87" s="131"/>
      <c r="DZ87" s="131"/>
      <c r="EA87" s="131"/>
      <c r="EB87" s="131"/>
      <c r="EC87" s="131"/>
      <c r="ED87" s="130">
        <f t="shared" si="13"/>
        <v>0.06</v>
      </c>
      <c r="EE87" s="131"/>
      <c r="EF87" s="131"/>
      <c r="EG87" s="131"/>
      <c r="EH87" s="131"/>
      <c r="EI87" s="131"/>
      <c r="EJ87" s="131"/>
      <c r="EK87" s="131"/>
      <c r="EL87" s="132" t="s">
        <v>559</v>
      </c>
      <c r="EM87" s="133"/>
      <c r="EN87" s="133"/>
      <c r="EO87" s="133"/>
      <c r="EP87" s="133"/>
      <c r="EQ87" s="133"/>
      <c r="IR87" s="42">
        <f>CP87*1</f>
        <v>0</v>
      </c>
      <c r="IS87" s="42">
        <f>CP87*(1-1)</f>
        <v>0</v>
      </c>
    </row>
    <row r="88" spans="1:253" ht="12.75">
      <c r="A88" s="132" t="s">
        <v>75</v>
      </c>
      <c r="B88" s="133"/>
      <c r="C88" s="132" t="s">
        <v>198</v>
      </c>
      <c r="D88" s="133"/>
      <c r="E88" s="133"/>
      <c r="F88" s="132" t="s">
        <v>269</v>
      </c>
      <c r="G88" s="133"/>
      <c r="H88" s="133"/>
      <c r="I88" s="133"/>
      <c r="J88" s="133"/>
      <c r="K88" s="133"/>
      <c r="L88" s="132" t="s">
        <v>424</v>
      </c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2" t="s">
        <v>533</v>
      </c>
      <c r="AT88" s="133"/>
      <c r="AU88" s="132" t="s">
        <v>661</v>
      </c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0">
        <f>'Výkaz výměr'!F90</f>
        <v>36</v>
      </c>
      <c r="CL88" s="131"/>
      <c r="CM88" s="131"/>
      <c r="CN88" s="131"/>
      <c r="CO88" s="131"/>
      <c r="CP88" s="130">
        <f>'Výkaz výměr'!G90</f>
        <v>0</v>
      </c>
      <c r="CQ88" s="131"/>
      <c r="CR88" s="131"/>
      <c r="CS88" s="131"/>
      <c r="CT88" s="131"/>
      <c r="CU88" s="131"/>
      <c r="CV88" s="131"/>
      <c r="CW88" s="131"/>
      <c r="CX88" s="130">
        <f t="shared" si="10"/>
        <v>0</v>
      </c>
      <c r="CY88" s="131"/>
      <c r="CZ88" s="131"/>
      <c r="DA88" s="131"/>
      <c r="DB88" s="131"/>
      <c r="DC88" s="131"/>
      <c r="DD88" s="131"/>
      <c r="DE88" s="131"/>
      <c r="DF88" s="130">
        <f t="shared" si="11"/>
        <v>0</v>
      </c>
      <c r="DG88" s="131"/>
      <c r="DH88" s="131"/>
      <c r="DI88" s="131"/>
      <c r="DJ88" s="131"/>
      <c r="DK88" s="131"/>
      <c r="DL88" s="131"/>
      <c r="DM88" s="131"/>
      <c r="DN88" s="130">
        <f t="shared" si="12"/>
        <v>0</v>
      </c>
      <c r="DO88" s="131"/>
      <c r="DP88" s="131"/>
      <c r="DQ88" s="131"/>
      <c r="DR88" s="131"/>
      <c r="DS88" s="131"/>
      <c r="DT88" s="131"/>
      <c r="DU88" s="131"/>
      <c r="DV88" s="130">
        <f>'Výkaz výměr'!L90</f>
        <v>0</v>
      </c>
      <c r="DW88" s="131"/>
      <c r="DX88" s="131"/>
      <c r="DY88" s="131"/>
      <c r="DZ88" s="131"/>
      <c r="EA88" s="131"/>
      <c r="EB88" s="131"/>
      <c r="EC88" s="131"/>
      <c r="ED88" s="130">
        <f t="shared" si="13"/>
        <v>0</v>
      </c>
      <c r="EE88" s="131"/>
      <c r="EF88" s="131"/>
      <c r="EG88" s="131"/>
      <c r="EH88" s="131"/>
      <c r="EI88" s="131"/>
      <c r="EJ88" s="131"/>
      <c r="EK88" s="131"/>
      <c r="EL88" s="132"/>
      <c r="EM88" s="133"/>
      <c r="EN88" s="133"/>
      <c r="EO88" s="133"/>
      <c r="EP88" s="133"/>
      <c r="EQ88" s="133"/>
      <c r="IR88" s="42">
        <f>CP88*1</f>
        <v>0</v>
      </c>
      <c r="IS88" s="42">
        <f>CP88*(1-1)</f>
        <v>0</v>
      </c>
    </row>
    <row r="89" spans="1:253" ht="12.75">
      <c r="A89" s="132" t="s">
        <v>76</v>
      </c>
      <c r="B89" s="133"/>
      <c r="C89" s="132" t="s">
        <v>198</v>
      </c>
      <c r="D89" s="133"/>
      <c r="E89" s="133"/>
      <c r="F89" s="132" t="s">
        <v>270</v>
      </c>
      <c r="G89" s="133"/>
      <c r="H89" s="133"/>
      <c r="I89" s="133"/>
      <c r="J89" s="133"/>
      <c r="K89" s="133"/>
      <c r="L89" s="132" t="s">
        <v>425</v>
      </c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2" t="s">
        <v>533</v>
      </c>
      <c r="AT89" s="133"/>
      <c r="AU89" s="132" t="s">
        <v>661</v>
      </c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0">
        <f>'Výkaz výměr'!F91</f>
        <v>36</v>
      </c>
      <c r="CL89" s="131"/>
      <c r="CM89" s="131"/>
      <c r="CN89" s="131"/>
      <c r="CO89" s="131"/>
      <c r="CP89" s="130">
        <f>'Výkaz výměr'!G91</f>
        <v>0</v>
      </c>
      <c r="CQ89" s="131"/>
      <c r="CR89" s="131"/>
      <c r="CS89" s="131"/>
      <c r="CT89" s="131"/>
      <c r="CU89" s="131"/>
      <c r="CV89" s="131"/>
      <c r="CW89" s="131"/>
      <c r="CX89" s="130">
        <f t="shared" si="10"/>
        <v>0</v>
      </c>
      <c r="CY89" s="131"/>
      <c r="CZ89" s="131"/>
      <c r="DA89" s="131"/>
      <c r="DB89" s="131"/>
      <c r="DC89" s="131"/>
      <c r="DD89" s="131"/>
      <c r="DE89" s="131"/>
      <c r="DF89" s="130">
        <f t="shared" si="11"/>
        <v>0</v>
      </c>
      <c r="DG89" s="131"/>
      <c r="DH89" s="131"/>
      <c r="DI89" s="131"/>
      <c r="DJ89" s="131"/>
      <c r="DK89" s="131"/>
      <c r="DL89" s="131"/>
      <c r="DM89" s="131"/>
      <c r="DN89" s="130">
        <f t="shared" si="12"/>
        <v>0</v>
      </c>
      <c r="DO89" s="131"/>
      <c r="DP89" s="131"/>
      <c r="DQ89" s="131"/>
      <c r="DR89" s="131"/>
      <c r="DS89" s="131"/>
      <c r="DT89" s="131"/>
      <c r="DU89" s="131"/>
      <c r="DV89" s="130">
        <f>'Výkaz výměr'!L91</f>
        <v>0</v>
      </c>
      <c r="DW89" s="131"/>
      <c r="DX89" s="131"/>
      <c r="DY89" s="131"/>
      <c r="DZ89" s="131"/>
      <c r="EA89" s="131"/>
      <c r="EB89" s="131"/>
      <c r="EC89" s="131"/>
      <c r="ED89" s="130">
        <f t="shared" si="13"/>
        <v>0</v>
      </c>
      <c r="EE89" s="131"/>
      <c r="EF89" s="131"/>
      <c r="EG89" s="131"/>
      <c r="EH89" s="131"/>
      <c r="EI89" s="131"/>
      <c r="EJ89" s="131"/>
      <c r="EK89" s="131"/>
      <c r="EL89" s="132"/>
      <c r="EM89" s="133"/>
      <c r="EN89" s="133"/>
      <c r="EO89" s="133"/>
      <c r="EP89" s="133"/>
      <c r="EQ89" s="133"/>
      <c r="IR89" s="42">
        <f>CP89*1</f>
        <v>0</v>
      </c>
      <c r="IS89" s="42">
        <f>CP89*(1-1)</f>
        <v>0</v>
      </c>
    </row>
    <row r="90" spans="1:253" ht="12.75">
      <c r="A90" s="132" t="s">
        <v>77</v>
      </c>
      <c r="B90" s="133"/>
      <c r="C90" s="132" t="s">
        <v>198</v>
      </c>
      <c r="D90" s="133"/>
      <c r="E90" s="133"/>
      <c r="F90" s="132" t="s">
        <v>271</v>
      </c>
      <c r="G90" s="133"/>
      <c r="H90" s="133"/>
      <c r="I90" s="133"/>
      <c r="J90" s="133"/>
      <c r="K90" s="133"/>
      <c r="L90" s="132" t="s">
        <v>426</v>
      </c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2" t="s">
        <v>533</v>
      </c>
      <c r="AT90" s="133"/>
      <c r="AU90" s="132" t="s">
        <v>662</v>
      </c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0">
        <f>'Výkaz výměr'!F92</f>
        <v>6</v>
      </c>
      <c r="CL90" s="131"/>
      <c r="CM90" s="131"/>
      <c r="CN90" s="131"/>
      <c r="CO90" s="131"/>
      <c r="CP90" s="130">
        <f>'Výkaz výměr'!G92</f>
        <v>0</v>
      </c>
      <c r="CQ90" s="131"/>
      <c r="CR90" s="131"/>
      <c r="CS90" s="131"/>
      <c r="CT90" s="131"/>
      <c r="CU90" s="131"/>
      <c r="CV90" s="131"/>
      <c r="CW90" s="131"/>
      <c r="CX90" s="130">
        <f t="shared" si="10"/>
        <v>0</v>
      </c>
      <c r="CY90" s="131"/>
      <c r="CZ90" s="131"/>
      <c r="DA90" s="131"/>
      <c r="DB90" s="131"/>
      <c r="DC90" s="131"/>
      <c r="DD90" s="131"/>
      <c r="DE90" s="131"/>
      <c r="DF90" s="130">
        <f t="shared" si="11"/>
        <v>0</v>
      </c>
      <c r="DG90" s="131"/>
      <c r="DH90" s="131"/>
      <c r="DI90" s="131"/>
      <c r="DJ90" s="131"/>
      <c r="DK90" s="131"/>
      <c r="DL90" s="131"/>
      <c r="DM90" s="131"/>
      <c r="DN90" s="130">
        <f t="shared" si="12"/>
        <v>0</v>
      </c>
      <c r="DO90" s="131"/>
      <c r="DP90" s="131"/>
      <c r="DQ90" s="131"/>
      <c r="DR90" s="131"/>
      <c r="DS90" s="131"/>
      <c r="DT90" s="131"/>
      <c r="DU90" s="131"/>
      <c r="DV90" s="130">
        <f>'Výkaz výměr'!L92</f>
        <v>0</v>
      </c>
      <c r="DW90" s="131"/>
      <c r="DX90" s="131"/>
      <c r="DY90" s="131"/>
      <c r="DZ90" s="131"/>
      <c r="EA90" s="131"/>
      <c r="EB90" s="131"/>
      <c r="EC90" s="131"/>
      <c r="ED90" s="130">
        <f t="shared" si="13"/>
        <v>0</v>
      </c>
      <c r="EE90" s="131"/>
      <c r="EF90" s="131"/>
      <c r="EG90" s="131"/>
      <c r="EH90" s="131"/>
      <c r="EI90" s="131"/>
      <c r="EJ90" s="131"/>
      <c r="EK90" s="131"/>
      <c r="EL90" s="132"/>
      <c r="EM90" s="133"/>
      <c r="EN90" s="133"/>
      <c r="EO90" s="133"/>
      <c r="EP90" s="133"/>
      <c r="EQ90" s="133"/>
      <c r="IR90" s="42">
        <f>CP90*1</f>
        <v>0</v>
      </c>
      <c r="IS90" s="42">
        <f>CP90*(1-1)</f>
        <v>0</v>
      </c>
    </row>
    <row r="91" spans="1:147" ht="12.75">
      <c r="A91" s="136" t="s">
        <v>5</v>
      </c>
      <c r="B91" s="137"/>
      <c r="C91" s="136" t="s">
        <v>5</v>
      </c>
      <c r="D91" s="137"/>
      <c r="E91" s="137"/>
      <c r="F91" s="136" t="s">
        <v>88</v>
      </c>
      <c r="G91" s="137"/>
      <c r="H91" s="137"/>
      <c r="I91" s="137"/>
      <c r="J91" s="137"/>
      <c r="K91" s="137"/>
      <c r="L91" s="136" t="s">
        <v>427</v>
      </c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6" t="s">
        <v>5</v>
      </c>
      <c r="AT91" s="137"/>
      <c r="AU91" s="136" t="s">
        <v>5</v>
      </c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8" t="s">
        <v>5</v>
      </c>
      <c r="CL91" s="139"/>
      <c r="CM91" s="139"/>
      <c r="CN91" s="139"/>
      <c r="CO91" s="139"/>
      <c r="CP91" s="138" t="s">
        <v>5</v>
      </c>
      <c r="CQ91" s="139"/>
      <c r="CR91" s="139"/>
      <c r="CS91" s="139"/>
      <c r="CT91" s="139"/>
      <c r="CU91" s="139"/>
      <c r="CV91" s="139"/>
      <c r="CW91" s="139"/>
      <c r="CX91" s="134">
        <f>SUM(CX92:CX106)</f>
        <v>0</v>
      </c>
      <c r="CY91" s="135"/>
      <c r="CZ91" s="135"/>
      <c r="DA91" s="135"/>
      <c r="DB91" s="135"/>
      <c r="DC91" s="135"/>
      <c r="DD91" s="135"/>
      <c r="DE91" s="135"/>
      <c r="DF91" s="144">
        <f>SUM(DF92:DF106)</f>
        <v>0</v>
      </c>
      <c r="DG91" s="139"/>
      <c r="DH91" s="139"/>
      <c r="DI91" s="139"/>
      <c r="DJ91" s="139"/>
      <c r="DK91" s="139"/>
      <c r="DL91" s="139"/>
      <c r="DM91" s="139"/>
      <c r="DN91" s="144">
        <f>SUM(DN92:DN106)</f>
        <v>0</v>
      </c>
      <c r="DO91" s="139"/>
      <c r="DP91" s="139"/>
      <c r="DQ91" s="139"/>
      <c r="DR91" s="139"/>
      <c r="DS91" s="139"/>
      <c r="DT91" s="139"/>
      <c r="DU91" s="139"/>
      <c r="DV91" s="138" t="s">
        <v>5</v>
      </c>
      <c r="DW91" s="139"/>
      <c r="DX91" s="139"/>
      <c r="DY91" s="139"/>
      <c r="DZ91" s="139"/>
      <c r="EA91" s="139"/>
      <c r="EB91" s="139"/>
      <c r="EC91" s="139"/>
      <c r="ED91" s="144">
        <f>SUM(ED92:ED106)</f>
        <v>244.36400600000002</v>
      </c>
      <c r="EE91" s="139"/>
      <c r="EF91" s="139"/>
      <c r="EG91" s="139"/>
      <c r="EH91" s="139"/>
      <c r="EI91" s="139"/>
      <c r="EJ91" s="139"/>
      <c r="EK91" s="139"/>
      <c r="EL91" s="136" t="s">
        <v>5</v>
      </c>
      <c r="EM91" s="137"/>
      <c r="EN91" s="137"/>
      <c r="EO91" s="137"/>
      <c r="EP91" s="137"/>
      <c r="EQ91" s="137"/>
    </row>
    <row r="92" spans="1:253" ht="12.75">
      <c r="A92" s="142" t="s">
        <v>78</v>
      </c>
      <c r="B92" s="143"/>
      <c r="C92" s="142" t="s">
        <v>198</v>
      </c>
      <c r="D92" s="143"/>
      <c r="E92" s="143"/>
      <c r="F92" s="142" t="s">
        <v>272</v>
      </c>
      <c r="G92" s="143"/>
      <c r="H92" s="143"/>
      <c r="I92" s="143"/>
      <c r="J92" s="143"/>
      <c r="K92" s="143"/>
      <c r="L92" s="142" t="s">
        <v>428</v>
      </c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2" t="s">
        <v>526</v>
      </c>
      <c r="AT92" s="143"/>
      <c r="AU92" s="142" t="s">
        <v>663</v>
      </c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0">
        <f>'Výkaz výměr'!F94</f>
        <v>107.7</v>
      </c>
      <c r="CL92" s="141"/>
      <c r="CM92" s="141"/>
      <c r="CN92" s="141"/>
      <c r="CO92" s="141"/>
      <c r="CP92" s="140">
        <f>'Výkaz výměr'!G94</f>
        <v>0</v>
      </c>
      <c r="CQ92" s="141"/>
      <c r="CR92" s="141"/>
      <c r="CS92" s="141"/>
      <c r="CT92" s="141"/>
      <c r="CU92" s="141"/>
      <c r="CV92" s="141"/>
      <c r="CW92" s="141"/>
      <c r="CX92" s="140">
        <f aca="true" t="shared" si="16" ref="CX92:CX106">IR92*CK92</f>
        <v>0</v>
      </c>
      <c r="CY92" s="141"/>
      <c r="CZ92" s="141"/>
      <c r="DA92" s="141"/>
      <c r="DB92" s="141"/>
      <c r="DC92" s="141"/>
      <c r="DD92" s="141"/>
      <c r="DE92" s="141"/>
      <c r="DF92" s="140">
        <f aca="true" t="shared" si="17" ref="DF92:DF106">IS92*CK92</f>
        <v>0</v>
      </c>
      <c r="DG92" s="141"/>
      <c r="DH92" s="141"/>
      <c r="DI92" s="141"/>
      <c r="DJ92" s="141"/>
      <c r="DK92" s="141"/>
      <c r="DL92" s="141"/>
      <c r="DM92" s="141"/>
      <c r="DN92" s="140">
        <f aca="true" t="shared" si="18" ref="DN92:DN106">IR92*CK92+IS92*CK92</f>
        <v>0</v>
      </c>
      <c r="DO92" s="141"/>
      <c r="DP92" s="141"/>
      <c r="DQ92" s="141"/>
      <c r="DR92" s="141"/>
      <c r="DS92" s="141"/>
      <c r="DT92" s="141"/>
      <c r="DU92" s="141"/>
      <c r="DV92" s="140">
        <f>'Výkaz výměr'!L94</f>
        <v>0.00294</v>
      </c>
      <c r="DW92" s="141"/>
      <c r="DX92" s="141"/>
      <c r="DY92" s="141"/>
      <c r="DZ92" s="141"/>
      <c r="EA92" s="141"/>
      <c r="EB92" s="141"/>
      <c r="EC92" s="141"/>
      <c r="ED92" s="140">
        <f aca="true" t="shared" si="19" ref="ED92:ED106">DV92*CK92</f>
        <v>0.316638</v>
      </c>
      <c r="EE92" s="141"/>
      <c r="EF92" s="141"/>
      <c r="EG92" s="141"/>
      <c r="EH92" s="141"/>
      <c r="EI92" s="141"/>
      <c r="EJ92" s="141"/>
      <c r="EK92" s="141"/>
      <c r="EL92" s="142" t="s">
        <v>559</v>
      </c>
      <c r="EM92" s="143"/>
      <c r="EN92" s="143"/>
      <c r="EO92" s="143"/>
      <c r="EP92" s="143"/>
      <c r="EQ92" s="143"/>
      <c r="IR92" s="43">
        <f>CP92*0.165225563909774</f>
        <v>0</v>
      </c>
      <c r="IS92" s="43">
        <f>CP92*(1-0.165225563909774)</f>
        <v>0</v>
      </c>
    </row>
    <row r="93" spans="1:253" ht="12.75">
      <c r="A93" s="142" t="s">
        <v>79</v>
      </c>
      <c r="B93" s="143"/>
      <c r="C93" s="142" t="s">
        <v>198</v>
      </c>
      <c r="D93" s="143"/>
      <c r="E93" s="143"/>
      <c r="F93" s="142" t="s">
        <v>273</v>
      </c>
      <c r="G93" s="143"/>
      <c r="H93" s="143"/>
      <c r="I93" s="143"/>
      <c r="J93" s="143"/>
      <c r="K93" s="143"/>
      <c r="L93" s="142" t="s">
        <v>429</v>
      </c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2" t="s">
        <v>526</v>
      </c>
      <c r="AT93" s="143"/>
      <c r="AU93" s="142" t="s">
        <v>663</v>
      </c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0">
        <f>'Výkaz výměr'!F95</f>
        <v>107.7</v>
      </c>
      <c r="CL93" s="141"/>
      <c r="CM93" s="141"/>
      <c r="CN93" s="141"/>
      <c r="CO93" s="141"/>
      <c r="CP93" s="140">
        <f>'Výkaz výměr'!G95</f>
        <v>0</v>
      </c>
      <c r="CQ93" s="141"/>
      <c r="CR93" s="141"/>
      <c r="CS93" s="141"/>
      <c r="CT93" s="141"/>
      <c r="CU93" s="141"/>
      <c r="CV93" s="141"/>
      <c r="CW93" s="141"/>
      <c r="CX93" s="140">
        <f t="shared" si="16"/>
        <v>0</v>
      </c>
      <c r="CY93" s="141"/>
      <c r="CZ93" s="141"/>
      <c r="DA93" s="141"/>
      <c r="DB93" s="141"/>
      <c r="DC93" s="141"/>
      <c r="DD93" s="141"/>
      <c r="DE93" s="141"/>
      <c r="DF93" s="140">
        <f t="shared" si="17"/>
        <v>0</v>
      </c>
      <c r="DG93" s="141"/>
      <c r="DH93" s="141"/>
      <c r="DI93" s="141"/>
      <c r="DJ93" s="141"/>
      <c r="DK93" s="141"/>
      <c r="DL93" s="141"/>
      <c r="DM93" s="141"/>
      <c r="DN93" s="140">
        <f t="shared" si="18"/>
        <v>0</v>
      </c>
      <c r="DO93" s="141"/>
      <c r="DP93" s="141"/>
      <c r="DQ93" s="141"/>
      <c r="DR93" s="141"/>
      <c r="DS93" s="141"/>
      <c r="DT93" s="141"/>
      <c r="DU93" s="141"/>
      <c r="DV93" s="140">
        <f>'Výkaz výměr'!L95</f>
        <v>0.21664</v>
      </c>
      <c r="DW93" s="141"/>
      <c r="DX93" s="141"/>
      <c r="DY93" s="141"/>
      <c r="DZ93" s="141"/>
      <c r="EA93" s="141"/>
      <c r="EB93" s="141"/>
      <c r="EC93" s="141"/>
      <c r="ED93" s="140">
        <f t="shared" si="19"/>
        <v>23.332128</v>
      </c>
      <c r="EE93" s="141"/>
      <c r="EF93" s="141"/>
      <c r="EG93" s="141"/>
      <c r="EH93" s="141"/>
      <c r="EI93" s="141"/>
      <c r="EJ93" s="141"/>
      <c r="EK93" s="141"/>
      <c r="EL93" s="142" t="s">
        <v>559</v>
      </c>
      <c r="EM93" s="143"/>
      <c r="EN93" s="143"/>
      <c r="EO93" s="143"/>
      <c r="EP93" s="143"/>
      <c r="EQ93" s="143"/>
      <c r="IR93" s="43">
        <f>CP93*0.471300546448087</f>
        <v>0</v>
      </c>
      <c r="IS93" s="43">
        <f>CP93*(1-0.471300546448087)</f>
        <v>0</v>
      </c>
    </row>
    <row r="94" spans="1:253" ht="12.75">
      <c r="A94" s="132" t="s">
        <v>80</v>
      </c>
      <c r="B94" s="133"/>
      <c r="C94" s="132" t="s">
        <v>198</v>
      </c>
      <c r="D94" s="133"/>
      <c r="E94" s="133"/>
      <c r="F94" s="132" t="s">
        <v>274</v>
      </c>
      <c r="G94" s="133"/>
      <c r="H94" s="133"/>
      <c r="I94" s="133"/>
      <c r="J94" s="133"/>
      <c r="K94" s="133"/>
      <c r="L94" s="132" t="s">
        <v>430</v>
      </c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2" t="s">
        <v>535</v>
      </c>
      <c r="AT94" s="133"/>
      <c r="AU94" s="132" t="s">
        <v>649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0">
        <f>'Výkaz výměr'!F96</f>
        <v>20</v>
      </c>
      <c r="CL94" s="131"/>
      <c r="CM94" s="131"/>
      <c r="CN94" s="131"/>
      <c r="CO94" s="131"/>
      <c r="CP94" s="130">
        <f>'Výkaz výměr'!G96</f>
        <v>0</v>
      </c>
      <c r="CQ94" s="131"/>
      <c r="CR94" s="131"/>
      <c r="CS94" s="131"/>
      <c r="CT94" s="131"/>
      <c r="CU94" s="131"/>
      <c r="CV94" s="131"/>
      <c r="CW94" s="131"/>
      <c r="CX94" s="130">
        <f t="shared" si="16"/>
        <v>0</v>
      </c>
      <c r="CY94" s="131"/>
      <c r="CZ94" s="131"/>
      <c r="DA94" s="131"/>
      <c r="DB94" s="131"/>
      <c r="DC94" s="131"/>
      <c r="DD94" s="131"/>
      <c r="DE94" s="131"/>
      <c r="DF94" s="130">
        <f t="shared" si="17"/>
        <v>0</v>
      </c>
      <c r="DG94" s="131"/>
      <c r="DH94" s="131"/>
      <c r="DI94" s="131"/>
      <c r="DJ94" s="131"/>
      <c r="DK94" s="131"/>
      <c r="DL94" s="131"/>
      <c r="DM94" s="131"/>
      <c r="DN94" s="130">
        <f t="shared" si="18"/>
        <v>0</v>
      </c>
      <c r="DO94" s="131"/>
      <c r="DP94" s="131"/>
      <c r="DQ94" s="131"/>
      <c r="DR94" s="131"/>
      <c r="DS94" s="131"/>
      <c r="DT94" s="131"/>
      <c r="DU94" s="131"/>
      <c r="DV94" s="130">
        <f>'Výkaz výměr'!L96</f>
        <v>0</v>
      </c>
      <c r="DW94" s="131"/>
      <c r="DX94" s="131"/>
      <c r="DY94" s="131"/>
      <c r="DZ94" s="131"/>
      <c r="EA94" s="131"/>
      <c r="EB94" s="131"/>
      <c r="EC94" s="131"/>
      <c r="ED94" s="130">
        <f t="shared" si="19"/>
        <v>0</v>
      </c>
      <c r="EE94" s="131"/>
      <c r="EF94" s="131"/>
      <c r="EG94" s="131"/>
      <c r="EH94" s="131"/>
      <c r="EI94" s="131"/>
      <c r="EJ94" s="131"/>
      <c r="EK94" s="131"/>
      <c r="EL94" s="132"/>
      <c r="EM94" s="133"/>
      <c r="EN94" s="133"/>
      <c r="EO94" s="133"/>
      <c r="EP94" s="133"/>
      <c r="EQ94" s="133"/>
      <c r="IR94" s="42">
        <f>CP94*1</f>
        <v>0</v>
      </c>
      <c r="IS94" s="42">
        <f>CP94*(1-1)</f>
        <v>0</v>
      </c>
    </row>
    <row r="95" spans="1:253" ht="12.75">
      <c r="A95" s="142" t="s">
        <v>81</v>
      </c>
      <c r="B95" s="143"/>
      <c r="C95" s="142" t="s">
        <v>198</v>
      </c>
      <c r="D95" s="143"/>
      <c r="E95" s="143"/>
      <c r="F95" s="142" t="s">
        <v>275</v>
      </c>
      <c r="G95" s="143"/>
      <c r="H95" s="143"/>
      <c r="I95" s="143"/>
      <c r="J95" s="143"/>
      <c r="K95" s="143"/>
      <c r="L95" s="142" t="s">
        <v>431</v>
      </c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2" t="s">
        <v>534</v>
      </c>
      <c r="AT95" s="143"/>
      <c r="AU95" s="142" t="s">
        <v>649</v>
      </c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0">
        <f>'Výkaz výměr'!F97</f>
        <v>20</v>
      </c>
      <c r="CL95" s="141"/>
      <c r="CM95" s="141"/>
      <c r="CN95" s="141"/>
      <c r="CO95" s="141"/>
      <c r="CP95" s="140">
        <f>'Výkaz výměr'!G97</f>
        <v>0</v>
      </c>
      <c r="CQ95" s="141"/>
      <c r="CR95" s="141"/>
      <c r="CS95" s="141"/>
      <c r="CT95" s="141"/>
      <c r="CU95" s="141"/>
      <c r="CV95" s="141"/>
      <c r="CW95" s="141"/>
      <c r="CX95" s="140">
        <f t="shared" si="16"/>
        <v>0</v>
      </c>
      <c r="CY95" s="141"/>
      <c r="CZ95" s="141"/>
      <c r="DA95" s="141"/>
      <c r="DB95" s="141"/>
      <c r="DC95" s="141"/>
      <c r="DD95" s="141"/>
      <c r="DE95" s="141"/>
      <c r="DF95" s="140">
        <f t="shared" si="17"/>
        <v>0</v>
      </c>
      <c r="DG95" s="141"/>
      <c r="DH95" s="141"/>
      <c r="DI95" s="141"/>
      <c r="DJ95" s="141"/>
      <c r="DK95" s="141"/>
      <c r="DL95" s="141"/>
      <c r="DM95" s="141"/>
      <c r="DN95" s="140">
        <f t="shared" si="18"/>
        <v>0</v>
      </c>
      <c r="DO95" s="141"/>
      <c r="DP95" s="141"/>
      <c r="DQ95" s="141"/>
      <c r="DR95" s="141"/>
      <c r="DS95" s="141"/>
      <c r="DT95" s="141"/>
      <c r="DU95" s="141"/>
      <c r="DV95" s="140">
        <f>'Výkaz výměr'!L97</f>
        <v>0</v>
      </c>
      <c r="DW95" s="141"/>
      <c r="DX95" s="141"/>
      <c r="DY95" s="141"/>
      <c r="DZ95" s="141"/>
      <c r="EA95" s="141"/>
      <c r="EB95" s="141"/>
      <c r="EC95" s="141"/>
      <c r="ED95" s="140">
        <f t="shared" si="19"/>
        <v>0</v>
      </c>
      <c r="EE95" s="141"/>
      <c r="EF95" s="141"/>
      <c r="EG95" s="141"/>
      <c r="EH95" s="141"/>
      <c r="EI95" s="141"/>
      <c r="EJ95" s="141"/>
      <c r="EK95" s="141"/>
      <c r="EL95" s="142" t="s">
        <v>559</v>
      </c>
      <c r="EM95" s="143"/>
      <c r="EN95" s="143"/>
      <c r="EO95" s="143"/>
      <c r="EP95" s="143"/>
      <c r="EQ95" s="143"/>
      <c r="IR95" s="43">
        <f>CP95*0</f>
        <v>0</v>
      </c>
      <c r="IS95" s="43">
        <f>CP95*(1-0)</f>
        <v>0</v>
      </c>
    </row>
    <row r="96" spans="1:253" ht="12.75">
      <c r="A96" s="132" t="s">
        <v>82</v>
      </c>
      <c r="B96" s="133"/>
      <c r="C96" s="132" t="s">
        <v>198</v>
      </c>
      <c r="D96" s="133"/>
      <c r="E96" s="133"/>
      <c r="F96" s="132" t="s">
        <v>276</v>
      </c>
      <c r="G96" s="133"/>
      <c r="H96" s="133"/>
      <c r="I96" s="133"/>
      <c r="J96" s="133"/>
      <c r="K96" s="133"/>
      <c r="L96" s="132" t="s">
        <v>432</v>
      </c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2" t="s">
        <v>533</v>
      </c>
      <c r="AT96" s="133"/>
      <c r="AU96" s="132" t="s">
        <v>649</v>
      </c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0">
        <f>'Výkaz výměr'!F98</f>
        <v>20</v>
      </c>
      <c r="CL96" s="131"/>
      <c r="CM96" s="131"/>
      <c r="CN96" s="131"/>
      <c r="CO96" s="131"/>
      <c r="CP96" s="130">
        <f>'Výkaz výměr'!G98</f>
        <v>0</v>
      </c>
      <c r="CQ96" s="131"/>
      <c r="CR96" s="131"/>
      <c r="CS96" s="131"/>
      <c r="CT96" s="131"/>
      <c r="CU96" s="131"/>
      <c r="CV96" s="131"/>
      <c r="CW96" s="131"/>
      <c r="CX96" s="130">
        <f t="shared" si="16"/>
        <v>0</v>
      </c>
      <c r="CY96" s="131"/>
      <c r="CZ96" s="131"/>
      <c r="DA96" s="131"/>
      <c r="DB96" s="131"/>
      <c r="DC96" s="131"/>
      <c r="DD96" s="131"/>
      <c r="DE96" s="131"/>
      <c r="DF96" s="130">
        <f t="shared" si="17"/>
        <v>0</v>
      </c>
      <c r="DG96" s="131"/>
      <c r="DH96" s="131"/>
      <c r="DI96" s="131"/>
      <c r="DJ96" s="131"/>
      <c r="DK96" s="131"/>
      <c r="DL96" s="131"/>
      <c r="DM96" s="131"/>
      <c r="DN96" s="130">
        <f t="shared" si="18"/>
        <v>0</v>
      </c>
      <c r="DO96" s="131"/>
      <c r="DP96" s="131"/>
      <c r="DQ96" s="131"/>
      <c r="DR96" s="131"/>
      <c r="DS96" s="131"/>
      <c r="DT96" s="131"/>
      <c r="DU96" s="131"/>
      <c r="DV96" s="130">
        <f>'Výkaz výměr'!L98</f>
        <v>0</v>
      </c>
      <c r="DW96" s="131"/>
      <c r="DX96" s="131"/>
      <c r="DY96" s="131"/>
      <c r="DZ96" s="131"/>
      <c r="EA96" s="131"/>
      <c r="EB96" s="131"/>
      <c r="EC96" s="131"/>
      <c r="ED96" s="130">
        <f t="shared" si="19"/>
        <v>0</v>
      </c>
      <c r="EE96" s="131"/>
      <c r="EF96" s="131"/>
      <c r="EG96" s="131"/>
      <c r="EH96" s="131"/>
      <c r="EI96" s="131"/>
      <c r="EJ96" s="131"/>
      <c r="EK96" s="131"/>
      <c r="EL96" s="132"/>
      <c r="EM96" s="133"/>
      <c r="EN96" s="133"/>
      <c r="EO96" s="133"/>
      <c r="EP96" s="133"/>
      <c r="EQ96" s="133"/>
      <c r="IR96" s="42">
        <f>CP96*1</f>
        <v>0</v>
      </c>
      <c r="IS96" s="42">
        <f>CP96*(1-1)</f>
        <v>0</v>
      </c>
    </row>
    <row r="97" spans="1:253" ht="12.75">
      <c r="A97" s="132" t="s">
        <v>83</v>
      </c>
      <c r="B97" s="133"/>
      <c r="C97" s="132" t="s">
        <v>198</v>
      </c>
      <c r="D97" s="133"/>
      <c r="E97" s="133"/>
      <c r="F97" s="132" t="s">
        <v>277</v>
      </c>
      <c r="G97" s="133"/>
      <c r="H97" s="133"/>
      <c r="I97" s="133"/>
      <c r="J97" s="133"/>
      <c r="K97" s="133"/>
      <c r="L97" s="132" t="s">
        <v>433</v>
      </c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2" t="s">
        <v>534</v>
      </c>
      <c r="AT97" s="133"/>
      <c r="AU97" s="132" t="s">
        <v>649</v>
      </c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0">
        <f>'Výkaz výměr'!F99</f>
        <v>20</v>
      </c>
      <c r="CL97" s="131"/>
      <c r="CM97" s="131"/>
      <c r="CN97" s="131"/>
      <c r="CO97" s="131"/>
      <c r="CP97" s="130">
        <f>'Výkaz výměr'!G99</f>
        <v>0</v>
      </c>
      <c r="CQ97" s="131"/>
      <c r="CR97" s="131"/>
      <c r="CS97" s="131"/>
      <c r="CT97" s="131"/>
      <c r="CU97" s="131"/>
      <c r="CV97" s="131"/>
      <c r="CW97" s="131"/>
      <c r="CX97" s="130">
        <f t="shared" si="16"/>
        <v>0</v>
      </c>
      <c r="CY97" s="131"/>
      <c r="CZ97" s="131"/>
      <c r="DA97" s="131"/>
      <c r="DB97" s="131"/>
      <c r="DC97" s="131"/>
      <c r="DD97" s="131"/>
      <c r="DE97" s="131"/>
      <c r="DF97" s="130">
        <f t="shared" si="17"/>
        <v>0</v>
      </c>
      <c r="DG97" s="131"/>
      <c r="DH97" s="131"/>
      <c r="DI97" s="131"/>
      <c r="DJ97" s="131"/>
      <c r="DK97" s="131"/>
      <c r="DL97" s="131"/>
      <c r="DM97" s="131"/>
      <c r="DN97" s="130">
        <f t="shared" si="18"/>
        <v>0</v>
      </c>
      <c r="DO97" s="131"/>
      <c r="DP97" s="131"/>
      <c r="DQ97" s="131"/>
      <c r="DR97" s="131"/>
      <c r="DS97" s="131"/>
      <c r="DT97" s="131"/>
      <c r="DU97" s="131"/>
      <c r="DV97" s="130">
        <f>'Výkaz výměr'!L99</f>
        <v>0.00011</v>
      </c>
      <c r="DW97" s="131"/>
      <c r="DX97" s="131"/>
      <c r="DY97" s="131"/>
      <c r="DZ97" s="131"/>
      <c r="EA97" s="131"/>
      <c r="EB97" s="131"/>
      <c r="EC97" s="131"/>
      <c r="ED97" s="130">
        <f t="shared" si="19"/>
        <v>0.0022</v>
      </c>
      <c r="EE97" s="131"/>
      <c r="EF97" s="131"/>
      <c r="EG97" s="131"/>
      <c r="EH97" s="131"/>
      <c r="EI97" s="131"/>
      <c r="EJ97" s="131"/>
      <c r="EK97" s="131"/>
      <c r="EL97" s="132" t="s">
        <v>559</v>
      </c>
      <c r="EM97" s="133"/>
      <c r="EN97" s="133"/>
      <c r="EO97" s="133"/>
      <c r="EP97" s="133"/>
      <c r="EQ97" s="133"/>
      <c r="IR97" s="42">
        <f>CP97*1</f>
        <v>0</v>
      </c>
      <c r="IS97" s="42">
        <f>CP97*(1-1)</f>
        <v>0</v>
      </c>
    </row>
    <row r="98" spans="1:253" ht="12.75">
      <c r="A98" s="132" t="s">
        <v>84</v>
      </c>
      <c r="B98" s="133"/>
      <c r="C98" s="132" t="s">
        <v>198</v>
      </c>
      <c r="D98" s="133"/>
      <c r="E98" s="133"/>
      <c r="F98" s="132" t="s">
        <v>278</v>
      </c>
      <c r="G98" s="133"/>
      <c r="H98" s="133"/>
      <c r="I98" s="133"/>
      <c r="J98" s="133"/>
      <c r="K98" s="133"/>
      <c r="L98" s="132" t="s">
        <v>434</v>
      </c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2" t="s">
        <v>533</v>
      </c>
      <c r="AT98" s="133"/>
      <c r="AU98" s="132" t="s">
        <v>649</v>
      </c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0">
        <f>'Výkaz výměr'!F100</f>
        <v>20</v>
      </c>
      <c r="CL98" s="131"/>
      <c r="CM98" s="131"/>
      <c r="CN98" s="131"/>
      <c r="CO98" s="131"/>
      <c r="CP98" s="130">
        <f>'Výkaz výměr'!G100</f>
        <v>0</v>
      </c>
      <c r="CQ98" s="131"/>
      <c r="CR98" s="131"/>
      <c r="CS98" s="131"/>
      <c r="CT98" s="131"/>
      <c r="CU98" s="131"/>
      <c r="CV98" s="131"/>
      <c r="CW98" s="131"/>
      <c r="CX98" s="130">
        <f t="shared" si="16"/>
        <v>0</v>
      </c>
      <c r="CY98" s="131"/>
      <c r="CZ98" s="131"/>
      <c r="DA98" s="131"/>
      <c r="DB98" s="131"/>
      <c r="DC98" s="131"/>
      <c r="DD98" s="131"/>
      <c r="DE98" s="131"/>
      <c r="DF98" s="130">
        <f t="shared" si="17"/>
        <v>0</v>
      </c>
      <c r="DG98" s="131"/>
      <c r="DH98" s="131"/>
      <c r="DI98" s="131"/>
      <c r="DJ98" s="131"/>
      <c r="DK98" s="131"/>
      <c r="DL98" s="131"/>
      <c r="DM98" s="131"/>
      <c r="DN98" s="130">
        <f t="shared" si="18"/>
        <v>0</v>
      </c>
      <c r="DO98" s="131"/>
      <c r="DP98" s="131"/>
      <c r="DQ98" s="131"/>
      <c r="DR98" s="131"/>
      <c r="DS98" s="131"/>
      <c r="DT98" s="131"/>
      <c r="DU98" s="131"/>
      <c r="DV98" s="130">
        <f>'Výkaz výměr'!L100</f>
        <v>0</v>
      </c>
      <c r="DW98" s="131"/>
      <c r="DX98" s="131"/>
      <c r="DY98" s="131"/>
      <c r="DZ98" s="131"/>
      <c r="EA98" s="131"/>
      <c r="EB98" s="131"/>
      <c r="EC98" s="131"/>
      <c r="ED98" s="130">
        <f t="shared" si="19"/>
        <v>0</v>
      </c>
      <c r="EE98" s="131"/>
      <c r="EF98" s="131"/>
      <c r="EG98" s="131"/>
      <c r="EH98" s="131"/>
      <c r="EI98" s="131"/>
      <c r="EJ98" s="131"/>
      <c r="EK98" s="131"/>
      <c r="EL98" s="132"/>
      <c r="EM98" s="133"/>
      <c r="EN98" s="133"/>
      <c r="EO98" s="133"/>
      <c r="EP98" s="133"/>
      <c r="EQ98" s="133"/>
      <c r="IR98" s="42">
        <f>CP98*1</f>
        <v>0</v>
      </c>
      <c r="IS98" s="42">
        <f>CP98*(1-1)</f>
        <v>0</v>
      </c>
    </row>
    <row r="99" spans="1:253" ht="12.75">
      <c r="A99" s="132" t="s">
        <v>85</v>
      </c>
      <c r="B99" s="133"/>
      <c r="C99" s="132" t="s">
        <v>198</v>
      </c>
      <c r="D99" s="133"/>
      <c r="E99" s="133"/>
      <c r="F99" s="132" t="s">
        <v>279</v>
      </c>
      <c r="G99" s="133"/>
      <c r="H99" s="133"/>
      <c r="I99" s="133"/>
      <c r="J99" s="133"/>
      <c r="K99" s="133"/>
      <c r="L99" s="132" t="s">
        <v>435</v>
      </c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2" t="s">
        <v>533</v>
      </c>
      <c r="AT99" s="133"/>
      <c r="AU99" s="132" t="s">
        <v>649</v>
      </c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0">
        <f>'Výkaz výměr'!F101</f>
        <v>20</v>
      </c>
      <c r="CL99" s="131"/>
      <c r="CM99" s="131"/>
      <c r="CN99" s="131"/>
      <c r="CO99" s="131"/>
      <c r="CP99" s="130">
        <f>'Výkaz výměr'!G101</f>
        <v>0</v>
      </c>
      <c r="CQ99" s="131"/>
      <c r="CR99" s="131"/>
      <c r="CS99" s="131"/>
      <c r="CT99" s="131"/>
      <c r="CU99" s="131"/>
      <c r="CV99" s="131"/>
      <c r="CW99" s="131"/>
      <c r="CX99" s="130">
        <f t="shared" si="16"/>
        <v>0</v>
      </c>
      <c r="CY99" s="131"/>
      <c r="CZ99" s="131"/>
      <c r="DA99" s="131"/>
      <c r="DB99" s="131"/>
      <c r="DC99" s="131"/>
      <c r="DD99" s="131"/>
      <c r="DE99" s="131"/>
      <c r="DF99" s="130">
        <f t="shared" si="17"/>
        <v>0</v>
      </c>
      <c r="DG99" s="131"/>
      <c r="DH99" s="131"/>
      <c r="DI99" s="131"/>
      <c r="DJ99" s="131"/>
      <c r="DK99" s="131"/>
      <c r="DL99" s="131"/>
      <c r="DM99" s="131"/>
      <c r="DN99" s="130">
        <f t="shared" si="18"/>
        <v>0</v>
      </c>
      <c r="DO99" s="131"/>
      <c r="DP99" s="131"/>
      <c r="DQ99" s="131"/>
      <c r="DR99" s="131"/>
      <c r="DS99" s="131"/>
      <c r="DT99" s="131"/>
      <c r="DU99" s="131"/>
      <c r="DV99" s="130">
        <f>'Výkaz výměr'!L101</f>
        <v>0</v>
      </c>
      <c r="DW99" s="131"/>
      <c r="DX99" s="131"/>
      <c r="DY99" s="131"/>
      <c r="DZ99" s="131"/>
      <c r="EA99" s="131"/>
      <c r="EB99" s="131"/>
      <c r="EC99" s="131"/>
      <c r="ED99" s="130">
        <f t="shared" si="19"/>
        <v>0</v>
      </c>
      <c r="EE99" s="131"/>
      <c r="EF99" s="131"/>
      <c r="EG99" s="131"/>
      <c r="EH99" s="131"/>
      <c r="EI99" s="131"/>
      <c r="EJ99" s="131"/>
      <c r="EK99" s="131"/>
      <c r="EL99" s="132"/>
      <c r="EM99" s="133"/>
      <c r="EN99" s="133"/>
      <c r="EO99" s="133"/>
      <c r="EP99" s="133"/>
      <c r="EQ99" s="133"/>
      <c r="IR99" s="42">
        <f>CP99*1</f>
        <v>0</v>
      </c>
      <c r="IS99" s="42">
        <f>CP99*(1-1)</f>
        <v>0</v>
      </c>
    </row>
    <row r="100" spans="1:253" ht="12.75">
      <c r="A100" s="132" t="s">
        <v>86</v>
      </c>
      <c r="B100" s="133"/>
      <c r="C100" s="132" t="s">
        <v>198</v>
      </c>
      <c r="D100" s="133"/>
      <c r="E100" s="133"/>
      <c r="F100" s="132" t="s">
        <v>280</v>
      </c>
      <c r="G100" s="133"/>
      <c r="H100" s="133"/>
      <c r="I100" s="133"/>
      <c r="J100" s="133"/>
      <c r="K100" s="133"/>
      <c r="L100" s="132" t="s">
        <v>436</v>
      </c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2" t="s">
        <v>533</v>
      </c>
      <c r="AT100" s="133"/>
      <c r="AU100" s="132" t="s">
        <v>649</v>
      </c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0">
        <f>'Výkaz výměr'!F102</f>
        <v>20</v>
      </c>
      <c r="CL100" s="131"/>
      <c r="CM100" s="131"/>
      <c r="CN100" s="131"/>
      <c r="CO100" s="131"/>
      <c r="CP100" s="130">
        <f>'Výkaz výměr'!G102</f>
        <v>0</v>
      </c>
      <c r="CQ100" s="131"/>
      <c r="CR100" s="131"/>
      <c r="CS100" s="131"/>
      <c r="CT100" s="131"/>
      <c r="CU100" s="131"/>
      <c r="CV100" s="131"/>
      <c r="CW100" s="131"/>
      <c r="CX100" s="130">
        <f t="shared" si="16"/>
        <v>0</v>
      </c>
      <c r="CY100" s="131"/>
      <c r="CZ100" s="131"/>
      <c r="DA100" s="131"/>
      <c r="DB100" s="131"/>
      <c r="DC100" s="131"/>
      <c r="DD100" s="131"/>
      <c r="DE100" s="131"/>
      <c r="DF100" s="130">
        <f t="shared" si="17"/>
        <v>0</v>
      </c>
      <c r="DG100" s="131"/>
      <c r="DH100" s="131"/>
      <c r="DI100" s="131"/>
      <c r="DJ100" s="131"/>
      <c r="DK100" s="131"/>
      <c r="DL100" s="131"/>
      <c r="DM100" s="131"/>
      <c r="DN100" s="130">
        <f t="shared" si="18"/>
        <v>0</v>
      </c>
      <c r="DO100" s="131"/>
      <c r="DP100" s="131"/>
      <c r="DQ100" s="131"/>
      <c r="DR100" s="131"/>
      <c r="DS100" s="131"/>
      <c r="DT100" s="131"/>
      <c r="DU100" s="131"/>
      <c r="DV100" s="130">
        <f>'Výkaz výměr'!L102</f>
        <v>0.05</v>
      </c>
      <c r="DW100" s="131"/>
      <c r="DX100" s="131"/>
      <c r="DY100" s="131"/>
      <c r="DZ100" s="131"/>
      <c r="EA100" s="131"/>
      <c r="EB100" s="131"/>
      <c r="EC100" s="131"/>
      <c r="ED100" s="130">
        <f t="shared" si="19"/>
        <v>1</v>
      </c>
      <c r="EE100" s="131"/>
      <c r="EF100" s="131"/>
      <c r="EG100" s="131"/>
      <c r="EH100" s="131"/>
      <c r="EI100" s="131"/>
      <c r="EJ100" s="131"/>
      <c r="EK100" s="131"/>
      <c r="EL100" s="132"/>
      <c r="EM100" s="133"/>
      <c r="EN100" s="133"/>
      <c r="EO100" s="133"/>
      <c r="EP100" s="133"/>
      <c r="EQ100" s="133"/>
      <c r="IR100" s="42">
        <f>CP100*1</f>
        <v>0</v>
      </c>
      <c r="IS100" s="42">
        <f>CP100*(1-1)</f>
        <v>0</v>
      </c>
    </row>
    <row r="101" spans="1:253" ht="12.75">
      <c r="A101" s="142" t="s">
        <v>87</v>
      </c>
      <c r="B101" s="143"/>
      <c r="C101" s="142" t="s">
        <v>198</v>
      </c>
      <c r="D101" s="143"/>
      <c r="E101" s="143"/>
      <c r="F101" s="142" t="s">
        <v>258</v>
      </c>
      <c r="G101" s="143"/>
      <c r="H101" s="143"/>
      <c r="I101" s="143"/>
      <c r="J101" s="143"/>
      <c r="K101" s="143"/>
      <c r="L101" s="142" t="s">
        <v>412</v>
      </c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2" t="s">
        <v>530</v>
      </c>
      <c r="AT101" s="143"/>
      <c r="AU101" s="142" t="s">
        <v>664</v>
      </c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0">
        <f>'Výkaz výměr'!F103</f>
        <v>129.24</v>
      </c>
      <c r="CL101" s="141"/>
      <c r="CM101" s="141"/>
      <c r="CN101" s="141"/>
      <c r="CO101" s="141"/>
      <c r="CP101" s="140">
        <f>'Výkaz výměr'!G103</f>
        <v>0</v>
      </c>
      <c r="CQ101" s="141"/>
      <c r="CR101" s="141"/>
      <c r="CS101" s="141"/>
      <c r="CT101" s="141"/>
      <c r="CU101" s="141"/>
      <c r="CV101" s="141"/>
      <c r="CW101" s="141"/>
      <c r="CX101" s="140">
        <f t="shared" si="16"/>
        <v>0</v>
      </c>
      <c r="CY101" s="141"/>
      <c r="CZ101" s="141"/>
      <c r="DA101" s="141"/>
      <c r="DB101" s="141"/>
      <c r="DC101" s="141"/>
      <c r="DD101" s="141"/>
      <c r="DE101" s="141"/>
      <c r="DF101" s="140">
        <f t="shared" si="17"/>
        <v>0</v>
      </c>
      <c r="DG101" s="141"/>
      <c r="DH101" s="141"/>
      <c r="DI101" s="141"/>
      <c r="DJ101" s="141"/>
      <c r="DK101" s="141"/>
      <c r="DL101" s="141"/>
      <c r="DM101" s="141"/>
      <c r="DN101" s="140">
        <f t="shared" si="18"/>
        <v>0</v>
      </c>
      <c r="DO101" s="141"/>
      <c r="DP101" s="141"/>
      <c r="DQ101" s="141"/>
      <c r="DR101" s="141"/>
      <c r="DS101" s="141"/>
      <c r="DT101" s="141"/>
      <c r="DU101" s="141"/>
      <c r="DV101" s="140">
        <f>'Výkaz výměr'!L103</f>
        <v>0</v>
      </c>
      <c r="DW101" s="141"/>
      <c r="DX101" s="141"/>
      <c r="DY101" s="141"/>
      <c r="DZ101" s="141"/>
      <c r="EA101" s="141"/>
      <c r="EB101" s="141"/>
      <c r="EC101" s="141"/>
      <c r="ED101" s="140">
        <f t="shared" si="19"/>
        <v>0</v>
      </c>
      <c r="EE101" s="141"/>
      <c r="EF101" s="141"/>
      <c r="EG101" s="141"/>
      <c r="EH101" s="141"/>
      <c r="EI101" s="141"/>
      <c r="EJ101" s="141"/>
      <c r="EK101" s="141"/>
      <c r="EL101" s="142" t="s">
        <v>559</v>
      </c>
      <c r="EM101" s="143"/>
      <c r="EN101" s="143"/>
      <c r="EO101" s="143"/>
      <c r="EP101" s="143"/>
      <c r="EQ101" s="143"/>
      <c r="IR101" s="43">
        <f>CP101*0</f>
        <v>0</v>
      </c>
      <c r="IS101" s="43">
        <f>CP101*(1-0)</f>
        <v>0</v>
      </c>
    </row>
    <row r="102" spans="1:253" ht="12.75">
      <c r="A102" s="142" t="s">
        <v>88</v>
      </c>
      <c r="B102" s="143"/>
      <c r="C102" s="142" t="s">
        <v>198</v>
      </c>
      <c r="D102" s="143"/>
      <c r="E102" s="143"/>
      <c r="F102" s="142" t="s">
        <v>224</v>
      </c>
      <c r="G102" s="143"/>
      <c r="H102" s="143"/>
      <c r="I102" s="143"/>
      <c r="J102" s="143"/>
      <c r="K102" s="143"/>
      <c r="L102" s="142" t="s">
        <v>374</v>
      </c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2" t="s">
        <v>530</v>
      </c>
      <c r="AT102" s="143"/>
      <c r="AU102" s="142" t="s">
        <v>664</v>
      </c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0">
        <f>'Výkaz výměr'!F104</f>
        <v>129.24</v>
      </c>
      <c r="CL102" s="141"/>
      <c r="CM102" s="141"/>
      <c r="CN102" s="141"/>
      <c r="CO102" s="141"/>
      <c r="CP102" s="140">
        <f>'Výkaz výměr'!G104</f>
        <v>0</v>
      </c>
      <c r="CQ102" s="141"/>
      <c r="CR102" s="141"/>
      <c r="CS102" s="141"/>
      <c r="CT102" s="141"/>
      <c r="CU102" s="141"/>
      <c r="CV102" s="141"/>
      <c r="CW102" s="141"/>
      <c r="CX102" s="140">
        <f t="shared" si="16"/>
        <v>0</v>
      </c>
      <c r="CY102" s="141"/>
      <c r="CZ102" s="141"/>
      <c r="DA102" s="141"/>
      <c r="DB102" s="141"/>
      <c r="DC102" s="141"/>
      <c r="DD102" s="141"/>
      <c r="DE102" s="141"/>
      <c r="DF102" s="140">
        <f t="shared" si="17"/>
        <v>0</v>
      </c>
      <c r="DG102" s="141"/>
      <c r="DH102" s="141"/>
      <c r="DI102" s="141"/>
      <c r="DJ102" s="141"/>
      <c r="DK102" s="141"/>
      <c r="DL102" s="141"/>
      <c r="DM102" s="141"/>
      <c r="DN102" s="140">
        <f t="shared" si="18"/>
        <v>0</v>
      </c>
      <c r="DO102" s="141"/>
      <c r="DP102" s="141"/>
      <c r="DQ102" s="141"/>
      <c r="DR102" s="141"/>
      <c r="DS102" s="141"/>
      <c r="DT102" s="141"/>
      <c r="DU102" s="141"/>
      <c r="DV102" s="140">
        <f>'Výkaz výměr'!L104</f>
        <v>0</v>
      </c>
      <c r="DW102" s="141"/>
      <c r="DX102" s="141"/>
      <c r="DY102" s="141"/>
      <c r="DZ102" s="141"/>
      <c r="EA102" s="141"/>
      <c r="EB102" s="141"/>
      <c r="EC102" s="141"/>
      <c r="ED102" s="140">
        <f t="shared" si="19"/>
        <v>0</v>
      </c>
      <c r="EE102" s="141"/>
      <c r="EF102" s="141"/>
      <c r="EG102" s="141"/>
      <c r="EH102" s="141"/>
      <c r="EI102" s="141"/>
      <c r="EJ102" s="141"/>
      <c r="EK102" s="141"/>
      <c r="EL102" s="142" t="s">
        <v>559</v>
      </c>
      <c r="EM102" s="143"/>
      <c r="EN102" s="143"/>
      <c r="EO102" s="143"/>
      <c r="EP102" s="143"/>
      <c r="EQ102" s="143"/>
      <c r="IR102" s="43">
        <f>CP102*0</f>
        <v>0</v>
      </c>
      <c r="IS102" s="43">
        <f>CP102*(1-0)</f>
        <v>0</v>
      </c>
    </row>
    <row r="103" spans="1:253" ht="12.75">
      <c r="A103" s="142" t="s">
        <v>89</v>
      </c>
      <c r="B103" s="143"/>
      <c r="C103" s="142" t="s">
        <v>198</v>
      </c>
      <c r="D103" s="143"/>
      <c r="E103" s="143"/>
      <c r="F103" s="142" t="s">
        <v>225</v>
      </c>
      <c r="G103" s="143"/>
      <c r="H103" s="143"/>
      <c r="I103" s="143"/>
      <c r="J103" s="143"/>
      <c r="K103" s="143"/>
      <c r="L103" s="142" t="s">
        <v>376</v>
      </c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2" t="s">
        <v>530</v>
      </c>
      <c r="AT103" s="143"/>
      <c r="AU103" s="142" t="s">
        <v>665</v>
      </c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0">
        <f>'Výkaz výměr'!F106</f>
        <v>646.2</v>
      </c>
      <c r="CL103" s="141"/>
      <c r="CM103" s="141"/>
      <c r="CN103" s="141"/>
      <c r="CO103" s="141"/>
      <c r="CP103" s="140">
        <f>'Výkaz výměr'!G106</f>
        <v>0</v>
      </c>
      <c r="CQ103" s="141"/>
      <c r="CR103" s="141"/>
      <c r="CS103" s="141"/>
      <c r="CT103" s="141"/>
      <c r="CU103" s="141"/>
      <c r="CV103" s="141"/>
      <c r="CW103" s="141"/>
      <c r="CX103" s="140">
        <f t="shared" si="16"/>
        <v>0</v>
      </c>
      <c r="CY103" s="141"/>
      <c r="CZ103" s="141"/>
      <c r="DA103" s="141"/>
      <c r="DB103" s="141"/>
      <c r="DC103" s="141"/>
      <c r="DD103" s="141"/>
      <c r="DE103" s="141"/>
      <c r="DF103" s="140">
        <f t="shared" si="17"/>
        <v>0</v>
      </c>
      <c r="DG103" s="141"/>
      <c r="DH103" s="141"/>
      <c r="DI103" s="141"/>
      <c r="DJ103" s="141"/>
      <c r="DK103" s="141"/>
      <c r="DL103" s="141"/>
      <c r="DM103" s="141"/>
      <c r="DN103" s="140">
        <f t="shared" si="18"/>
        <v>0</v>
      </c>
      <c r="DO103" s="141"/>
      <c r="DP103" s="141"/>
      <c r="DQ103" s="141"/>
      <c r="DR103" s="141"/>
      <c r="DS103" s="141"/>
      <c r="DT103" s="141"/>
      <c r="DU103" s="141"/>
      <c r="DV103" s="140">
        <f>'Výkaz výměr'!L106</f>
        <v>0</v>
      </c>
      <c r="DW103" s="141"/>
      <c r="DX103" s="141"/>
      <c r="DY103" s="141"/>
      <c r="DZ103" s="141"/>
      <c r="EA103" s="141"/>
      <c r="EB103" s="141"/>
      <c r="EC103" s="141"/>
      <c r="ED103" s="140">
        <f t="shared" si="19"/>
        <v>0</v>
      </c>
      <c r="EE103" s="141"/>
      <c r="EF103" s="141"/>
      <c r="EG103" s="141"/>
      <c r="EH103" s="141"/>
      <c r="EI103" s="141"/>
      <c r="EJ103" s="141"/>
      <c r="EK103" s="141"/>
      <c r="EL103" s="142" t="s">
        <v>559</v>
      </c>
      <c r="EM103" s="143"/>
      <c r="EN103" s="143"/>
      <c r="EO103" s="143"/>
      <c r="EP103" s="143"/>
      <c r="EQ103" s="143"/>
      <c r="IR103" s="43">
        <f>CP103*0</f>
        <v>0</v>
      </c>
      <c r="IS103" s="43">
        <f>CP103*(1-0)</f>
        <v>0</v>
      </c>
    </row>
    <row r="104" spans="1:253" ht="12.75">
      <c r="A104" s="142" t="s">
        <v>90</v>
      </c>
      <c r="B104" s="143"/>
      <c r="C104" s="142" t="s">
        <v>198</v>
      </c>
      <c r="D104" s="143"/>
      <c r="E104" s="143"/>
      <c r="F104" s="142" t="s">
        <v>214</v>
      </c>
      <c r="G104" s="143"/>
      <c r="H104" s="143"/>
      <c r="I104" s="143"/>
      <c r="J104" s="143"/>
      <c r="K104" s="143"/>
      <c r="L104" s="142" t="s">
        <v>370</v>
      </c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2" t="s">
        <v>530</v>
      </c>
      <c r="AT104" s="143"/>
      <c r="AU104" s="142" t="s">
        <v>664</v>
      </c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0">
        <f>'Výkaz výměr'!F108</f>
        <v>129.24</v>
      </c>
      <c r="CL104" s="141"/>
      <c r="CM104" s="141"/>
      <c r="CN104" s="141"/>
      <c r="CO104" s="141"/>
      <c r="CP104" s="140">
        <f>'Výkaz výměr'!G108</f>
        <v>0</v>
      </c>
      <c r="CQ104" s="141"/>
      <c r="CR104" s="141"/>
      <c r="CS104" s="141"/>
      <c r="CT104" s="141"/>
      <c r="CU104" s="141"/>
      <c r="CV104" s="141"/>
      <c r="CW104" s="141"/>
      <c r="CX104" s="140">
        <f t="shared" si="16"/>
        <v>0</v>
      </c>
      <c r="CY104" s="141"/>
      <c r="CZ104" s="141"/>
      <c r="DA104" s="141"/>
      <c r="DB104" s="141"/>
      <c r="DC104" s="141"/>
      <c r="DD104" s="141"/>
      <c r="DE104" s="141"/>
      <c r="DF104" s="140">
        <f t="shared" si="17"/>
        <v>0</v>
      </c>
      <c r="DG104" s="141"/>
      <c r="DH104" s="141"/>
      <c r="DI104" s="141"/>
      <c r="DJ104" s="141"/>
      <c r="DK104" s="141"/>
      <c r="DL104" s="141"/>
      <c r="DM104" s="141"/>
      <c r="DN104" s="140">
        <f t="shared" si="18"/>
        <v>0</v>
      </c>
      <c r="DO104" s="141"/>
      <c r="DP104" s="141"/>
      <c r="DQ104" s="141"/>
      <c r="DR104" s="141"/>
      <c r="DS104" s="141"/>
      <c r="DT104" s="141"/>
      <c r="DU104" s="141"/>
      <c r="DV104" s="140">
        <f>'Výkaz výměr'!L108</f>
        <v>0</v>
      </c>
      <c r="DW104" s="141"/>
      <c r="DX104" s="141"/>
      <c r="DY104" s="141"/>
      <c r="DZ104" s="141"/>
      <c r="EA104" s="141"/>
      <c r="EB104" s="141"/>
      <c r="EC104" s="141"/>
      <c r="ED104" s="140">
        <f t="shared" si="19"/>
        <v>0</v>
      </c>
      <c r="EE104" s="141"/>
      <c r="EF104" s="141"/>
      <c r="EG104" s="141"/>
      <c r="EH104" s="141"/>
      <c r="EI104" s="141"/>
      <c r="EJ104" s="141"/>
      <c r="EK104" s="141"/>
      <c r="EL104" s="142" t="s">
        <v>559</v>
      </c>
      <c r="EM104" s="143"/>
      <c r="EN104" s="143"/>
      <c r="EO104" s="143"/>
      <c r="EP104" s="143"/>
      <c r="EQ104" s="143"/>
      <c r="IR104" s="43">
        <f>CP104*0</f>
        <v>0</v>
      </c>
      <c r="IS104" s="43">
        <f>CP104*(1-0)</f>
        <v>0</v>
      </c>
    </row>
    <row r="105" spans="1:253" ht="12.75">
      <c r="A105" s="132" t="s">
        <v>91</v>
      </c>
      <c r="B105" s="133"/>
      <c r="C105" s="132" t="s">
        <v>198</v>
      </c>
      <c r="D105" s="133"/>
      <c r="E105" s="133"/>
      <c r="F105" s="132" t="s">
        <v>259</v>
      </c>
      <c r="G105" s="133"/>
      <c r="H105" s="133"/>
      <c r="I105" s="133"/>
      <c r="J105" s="133"/>
      <c r="K105" s="133"/>
      <c r="L105" s="132" t="s">
        <v>413</v>
      </c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2" t="s">
        <v>529</v>
      </c>
      <c r="AT105" s="133"/>
      <c r="AU105" s="132" t="s">
        <v>666</v>
      </c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0">
        <f>'Výkaz výměr'!F109</f>
        <v>219.708</v>
      </c>
      <c r="CL105" s="131"/>
      <c r="CM105" s="131"/>
      <c r="CN105" s="131"/>
      <c r="CO105" s="131"/>
      <c r="CP105" s="130">
        <f>'Výkaz výměr'!G109</f>
        <v>0</v>
      </c>
      <c r="CQ105" s="131"/>
      <c r="CR105" s="131"/>
      <c r="CS105" s="131"/>
      <c r="CT105" s="131"/>
      <c r="CU105" s="131"/>
      <c r="CV105" s="131"/>
      <c r="CW105" s="131"/>
      <c r="CX105" s="130">
        <f t="shared" si="16"/>
        <v>0</v>
      </c>
      <c r="CY105" s="131"/>
      <c r="CZ105" s="131"/>
      <c r="DA105" s="131"/>
      <c r="DB105" s="131"/>
      <c r="DC105" s="131"/>
      <c r="DD105" s="131"/>
      <c r="DE105" s="131"/>
      <c r="DF105" s="130">
        <f t="shared" si="17"/>
        <v>0</v>
      </c>
      <c r="DG105" s="131"/>
      <c r="DH105" s="131"/>
      <c r="DI105" s="131"/>
      <c r="DJ105" s="131"/>
      <c r="DK105" s="131"/>
      <c r="DL105" s="131"/>
      <c r="DM105" s="131"/>
      <c r="DN105" s="130">
        <f t="shared" si="18"/>
        <v>0</v>
      </c>
      <c r="DO105" s="131"/>
      <c r="DP105" s="131"/>
      <c r="DQ105" s="131"/>
      <c r="DR105" s="131"/>
      <c r="DS105" s="131"/>
      <c r="DT105" s="131"/>
      <c r="DU105" s="131"/>
      <c r="DV105" s="130">
        <f>'Výkaz výměr'!L109</f>
        <v>1</v>
      </c>
      <c r="DW105" s="131"/>
      <c r="DX105" s="131"/>
      <c r="DY105" s="131"/>
      <c r="DZ105" s="131"/>
      <c r="EA105" s="131"/>
      <c r="EB105" s="131"/>
      <c r="EC105" s="131"/>
      <c r="ED105" s="130">
        <f t="shared" si="19"/>
        <v>219.708</v>
      </c>
      <c r="EE105" s="131"/>
      <c r="EF105" s="131"/>
      <c r="EG105" s="131"/>
      <c r="EH105" s="131"/>
      <c r="EI105" s="131"/>
      <c r="EJ105" s="131"/>
      <c r="EK105" s="131"/>
      <c r="EL105" s="132" t="s">
        <v>559</v>
      </c>
      <c r="EM105" s="133"/>
      <c r="EN105" s="133"/>
      <c r="EO105" s="133"/>
      <c r="EP105" s="133"/>
      <c r="EQ105" s="133"/>
      <c r="IR105" s="42">
        <f>CP105*1</f>
        <v>0</v>
      </c>
      <c r="IS105" s="42">
        <f>CP105*(1-1)</f>
        <v>0</v>
      </c>
    </row>
    <row r="106" spans="1:253" ht="12.75">
      <c r="A106" s="142" t="s">
        <v>92</v>
      </c>
      <c r="B106" s="143"/>
      <c r="C106" s="142" t="s">
        <v>198</v>
      </c>
      <c r="D106" s="143"/>
      <c r="E106" s="143"/>
      <c r="F106" s="142" t="s">
        <v>281</v>
      </c>
      <c r="G106" s="143"/>
      <c r="H106" s="143"/>
      <c r="I106" s="143"/>
      <c r="J106" s="143"/>
      <c r="K106" s="143"/>
      <c r="L106" s="142" t="s">
        <v>437</v>
      </c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2" t="s">
        <v>534</v>
      </c>
      <c r="AT106" s="143"/>
      <c r="AU106" s="142" t="s">
        <v>667</v>
      </c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0">
        <f>'Výkaz výměr'!F110</f>
        <v>24</v>
      </c>
      <c r="CL106" s="141"/>
      <c r="CM106" s="141"/>
      <c r="CN106" s="141"/>
      <c r="CO106" s="141"/>
      <c r="CP106" s="140">
        <f>'Výkaz výměr'!G110</f>
        <v>0</v>
      </c>
      <c r="CQ106" s="141"/>
      <c r="CR106" s="141"/>
      <c r="CS106" s="141"/>
      <c r="CT106" s="141"/>
      <c r="CU106" s="141"/>
      <c r="CV106" s="141"/>
      <c r="CW106" s="141"/>
      <c r="CX106" s="140">
        <f t="shared" si="16"/>
        <v>0</v>
      </c>
      <c r="CY106" s="141"/>
      <c r="CZ106" s="141"/>
      <c r="DA106" s="141"/>
      <c r="DB106" s="141"/>
      <c r="DC106" s="141"/>
      <c r="DD106" s="141"/>
      <c r="DE106" s="141"/>
      <c r="DF106" s="140">
        <f t="shared" si="17"/>
        <v>0</v>
      </c>
      <c r="DG106" s="141"/>
      <c r="DH106" s="141"/>
      <c r="DI106" s="141"/>
      <c r="DJ106" s="141"/>
      <c r="DK106" s="141"/>
      <c r="DL106" s="141"/>
      <c r="DM106" s="141"/>
      <c r="DN106" s="140">
        <f t="shared" si="18"/>
        <v>0</v>
      </c>
      <c r="DO106" s="141"/>
      <c r="DP106" s="141"/>
      <c r="DQ106" s="141"/>
      <c r="DR106" s="141"/>
      <c r="DS106" s="141"/>
      <c r="DT106" s="141"/>
      <c r="DU106" s="141"/>
      <c r="DV106" s="140">
        <f>'Výkaz výměr'!L110</f>
        <v>0.00021</v>
      </c>
      <c r="DW106" s="141"/>
      <c r="DX106" s="141"/>
      <c r="DY106" s="141"/>
      <c r="DZ106" s="141"/>
      <c r="EA106" s="141"/>
      <c r="EB106" s="141"/>
      <c r="EC106" s="141"/>
      <c r="ED106" s="140">
        <f t="shared" si="19"/>
        <v>0.00504</v>
      </c>
      <c r="EE106" s="141"/>
      <c r="EF106" s="141"/>
      <c r="EG106" s="141"/>
      <c r="EH106" s="141"/>
      <c r="EI106" s="141"/>
      <c r="EJ106" s="141"/>
      <c r="EK106" s="141"/>
      <c r="EL106" s="142" t="s">
        <v>559</v>
      </c>
      <c r="EM106" s="143"/>
      <c r="EN106" s="143"/>
      <c r="EO106" s="143"/>
      <c r="EP106" s="143"/>
      <c r="EQ106" s="143"/>
      <c r="IR106" s="43">
        <f>CP106*0.350021881838074</f>
        <v>0</v>
      </c>
      <c r="IS106" s="43">
        <f>CP106*(1-0.350021881838074)</f>
        <v>0</v>
      </c>
    </row>
    <row r="107" spans="1:147" ht="12.75">
      <c r="A107" s="136" t="s">
        <v>5</v>
      </c>
      <c r="B107" s="137"/>
      <c r="C107" s="136" t="s">
        <v>5</v>
      </c>
      <c r="D107" s="137"/>
      <c r="E107" s="137"/>
      <c r="F107" s="136" t="s">
        <v>282</v>
      </c>
      <c r="G107" s="137"/>
      <c r="H107" s="137"/>
      <c r="I107" s="137"/>
      <c r="J107" s="137"/>
      <c r="K107" s="137"/>
      <c r="L107" s="136" t="s">
        <v>438</v>
      </c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6" t="s">
        <v>5</v>
      </c>
      <c r="AT107" s="137"/>
      <c r="AU107" s="136" t="s">
        <v>5</v>
      </c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8" t="s">
        <v>5</v>
      </c>
      <c r="CL107" s="139"/>
      <c r="CM107" s="139"/>
      <c r="CN107" s="139"/>
      <c r="CO107" s="139"/>
      <c r="CP107" s="138" t="s">
        <v>5</v>
      </c>
      <c r="CQ107" s="139"/>
      <c r="CR107" s="139"/>
      <c r="CS107" s="139"/>
      <c r="CT107" s="139"/>
      <c r="CU107" s="139"/>
      <c r="CV107" s="139"/>
      <c r="CW107" s="139"/>
      <c r="CX107" s="134">
        <f>SUM(CX108:CX108)</f>
        <v>0</v>
      </c>
      <c r="CY107" s="135"/>
      <c r="CZ107" s="135"/>
      <c r="DA107" s="135"/>
      <c r="DB107" s="135"/>
      <c r="DC107" s="135"/>
      <c r="DD107" s="135"/>
      <c r="DE107" s="135"/>
      <c r="DF107" s="144">
        <f>SUM(DF108:DF108)</f>
        <v>0</v>
      </c>
      <c r="DG107" s="139"/>
      <c r="DH107" s="139"/>
      <c r="DI107" s="139"/>
      <c r="DJ107" s="139"/>
      <c r="DK107" s="139"/>
      <c r="DL107" s="139"/>
      <c r="DM107" s="139"/>
      <c r="DN107" s="144">
        <f>SUM(DN108:DN108)</f>
        <v>0</v>
      </c>
      <c r="DO107" s="139"/>
      <c r="DP107" s="139"/>
      <c r="DQ107" s="139"/>
      <c r="DR107" s="139"/>
      <c r="DS107" s="139"/>
      <c r="DT107" s="139"/>
      <c r="DU107" s="139"/>
      <c r="DV107" s="138" t="s">
        <v>5</v>
      </c>
      <c r="DW107" s="139"/>
      <c r="DX107" s="139"/>
      <c r="DY107" s="139"/>
      <c r="DZ107" s="139"/>
      <c r="EA107" s="139"/>
      <c r="EB107" s="139"/>
      <c r="EC107" s="139"/>
      <c r="ED107" s="144">
        <f>SUM(ED108:ED108)</f>
        <v>0</v>
      </c>
      <c r="EE107" s="139"/>
      <c r="EF107" s="139"/>
      <c r="EG107" s="139"/>
      <c r="EH107" s="139"/>
      <c r="EI107" s="139"/>
      <c r="EJ107" s="139"/>
      <c r="EK107" s="139"/>
      <c r="EL107" s="136" t="s">
        <v>5</v>
      </c>
      <c r="EM107" s="137"/>
      <c r="EN107" s="137"/>
      <c r="EO107" s="137"/>
      <c r="EP107" s="137"/>
      <c r="EQ107" s="137"/>
    </row>
    <row r="108" spans="1:253" ht="12.75">
      <c r="A108" s="142" t="s">
        <v>93</v>
      </c>
      <c r="B108" s="143"/>
      <c r="C108" s="142" t="s">
        <v>198</v>
      </c>
      <c r="D108" s="143"/>
      <c r="E108" s="143"/>
      <c r="F108" s="142" t="s">
        <v>283</v>
      </c>
      <c r="G108" s="143"/>
      <c r="H108" s="143"/>
      <c r="I108" s="143"/>
      <c r="J108" s="143"/>
      <c r="K108" s="143"/>
      <c r="L108" s="142" t="s">
        <v>439</v>
      </c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2" t="s">
        <v>529</v>
      </c>
      <c r="AT108" s="143"/>
      <c r="AU108" s="142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0">
        <f>'Výkaz výměr'!F112</f>
        <v>2243.6</v>
      </c>
      <c r="CL108" s="141"/>
      <c r="CM108" s="141"/>
      <c r="CN108" s="141"/>
      <c r="CO108" s="141"/>
      <c r="CP108" s="140">
        <f>'Výkaz výměr'!G112</f>
        <v>0</v>
      </c>
      <c r="CQ108" s="141"/>
      <c r="CR108" s="141"/>
      <c r="CS108" s="141"/>
      <c r="CT108" s="141"/>
      <c r="CU108" s="141"/>
      <c r="CV108" s="141"/>
      <c r="CW108" s="141"/>
      <c r="CX108" s="140">
        <f>IR108*CK108</f>
        <v>0</v>
      </c>
      <c r="CY108" s="141"/>
      <c r="CZ108" s="141"/>
      <c r="DA108" s="141"/>
      <c r="DB108" s="141"/>
      <c r="DC108" s="141"/>
      <c r="DD108" s="141"/>
      <c r="DE108" s="141"/>
      <c r="DF108" s="140">
        <f>IS108*CK108</f>
        <v>0</v>
      </c>
      <c r="DG108" s="141"/>
      <c r="DH108" s="141"/>
      <c r="DI108" s="141"/>
      <c r="DJ108" s="141"/>
      <c r="DK108" s="141"/>
      <c r="DL108" s="141"/>
      <c r="DM108" s="141"/>
      <c r="DN108" s="140">
        <f>IR108*CK108+IS108*CK108</f>
        <v>0</v>
      </c>
      <c r="DO108" s="141"/>
      <c r="DP108" s="141"/>
      <c r="DQ108" s="141"/>
      <c r="DR108" s="141"/>
      <c r="DS108" s="141"/>
      <c r="DT108" s="141"/>
      <c r="DU108" s="141"/>
      <c r="DV108" s="140">
        <f>'Výkaz výměr'!L112</f>
        <v>0</v>
      </c>
      <c r="DW108" s="141"/>
      <c r="DX108" s="141"/>
      <c r="DY108" s="141"/>
      <c r="DZ108" s="141"/>
      <c r="EA108" s="141"/>
      <c r="EB108" s="141"/>
      <c r="EC108" s="141"/>
      <c r="ED108" s="140">
        <f>DV108*CK108</f>
        <v>0</v>
      </c>
      <c r="EE108" s="141"/>
      <c r="EF108" s="141"/>
      <c r="EG108" s="141"/>
      <c r="EH108" s="141"/>
      <c r="EI108" s="141"/>
      <c r="EJ108" s="141"/>
      <c r="EK108" s="141"/>
      <c r="EL108" s="142" t="s">
        <v>559</v>
      </c>
      <c r="EM108" s="143"/>
      <c r="EN108" s="143"/>
      <c r="EO108" s="143"/>
      <c r="EP108" s="143"/>
      <c r="EQ108" s="143"/>
      <c r="IR108" s="43">
        <f>CP108*0</f>
        <v>0</v>
      </c>
      <c r="IS108" s="43">
        <f>CP108*(1-0)</f>
        <v>0</v>
      </c>
    </row>
    <row r="109" spans="1:147" ht="12.75">
      <c r="A109" s="136" t="s">
        <v>5</v>
      </c>
      <c r="B109" s="137"/>
      <c r="C109" s="136" t="s">
        <v>5</v>
      </c>
      <c r="D109" s="137"/>
      <c r="E109" s="137"/>
      <c r="F109" s="136"/>
      <c r="G109" s="137"/>
      <c r="H109" s="137"/>
      <c r="I109" s="137"/>
      <c r="J109" s="137"/>
      <c r="K109" s="137"/>
      <c r="L109" s="136" t="s">
        <v>440</v>
      </c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6" t="s">
        <v>5</v>
      </c>
      <c r="AT109" s="137"/>
      <c r="AU109" s="136" t="s">
        <v>5</v>
      </c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8" t="s">
        <v>5</v>
      </c>
      <c r="CL109" s="139"/>
      <c r="CM109" s="139"/>
      <c r="CN109" s="139"/>
      <c r="CO109" s="139"/>
      <c r="CP109" s="138" t="s">
        <v>5</v>
      </c>
      <c r="CQ109" s="139"/>
      <c r="CR109" s="139"/>
      <c r="CS109" s="139"/>
      <c r="CT109" s="139"/>
      <c r="CU109" s="139"/>
      <c r="CV109" s="139"/>
      <c r="CW109" s="139"/>
      <c r="CX109" s="134">
        <f>SUM(CX110:CX110)</f>
        <v>0</v>
      </c>
      <c r="CY109" s="135"/>
      <c r="CZ109" s="135"/>
      <c r="DA109" s="135"/>
      <c r="DB109" s="135"/>
      <c r="DC109" s="135"/>
      <c r="DD109" s="135"/>
      <c r="DE109" s="135"/>
      <c r="DF109" s="144">
        <f>SUM(DF110:DF110)</f>
        <v>0</v>
      </c>
      <c r="DG109" s="139"/>
      <c r="DH109" s="139"/>
      <c r="DI109" s="139"/>
      <c r="DJ109" s="139"/>
      <c r="DK109" s="139"/>
      <c r="DL109" s="139"/>
      <c r="DM109" s="139"/>
      <c r="DN109" s="144">
        <f>SUM(DN110:DN110)</f>
        <v>0</v>
      </c>
      <c r="DO109" s="139"/>
      <c r="DP109" s="139"/>
      <c r="DQ109" s="139"/>
      <c r="DR109" s="139"/>
      <c r="DS109" s="139"/>
      <c r="DT109" s="139"/>
      <c r="DU109" s="139"/>
      <c r="DV109" s="138" t="s">
        <v>5</v>
      </c>
      <c r="DW109" s="139"/>
      <c r="DX109" s="139"/>
      <c r="DY109" s="139"/>
      <c r="DZ109" s="139"/>
      <c r="EA109" s="139"/>
      <c r="EB109" s="139"/>
      <c r="EC109" s="139"/>
      <c r="ED109" s="144">
        <f>SUM(ED110:ED110)</f>
        <v>0</v>
      </c>
      <c r="EE109" s="139"/>
      <c r="EF109" s="139"/>
      <c r="EG109" s="139"/>
      <c r="EH109" s="139"/>
      <c r="EI109" s="139"/>
      <c r="EJ109" s="139"/>
      <c r="EK109" s="139"/>
      <c r="EL109" s="136" t="s">
        <v>5</v>
      </c>
      <c r="EM109" s="137"/>
      <c r="EN109" s="137"/>
      <c r="EO109" s="137"/>
      <c r="EP109" s="137"/>
      <c r="EQ109" s="137"/>
    </row>
    <row r="110" spans="1:253" ht="12.75">
      <c r="A110" s="132" t="s">
        <v>94</v>
      </c>
      <c r="B110" s="133"/>
      <c r="C110" s="132" t="s">
        <v>198</v>
      </c>
      <c r="D110" s="133"/>
      <c r="E110" s="133"/>
      <c r="F110" s="132" t="s">
        <v>284</v>
      </c>
      <c r="G110" s="133"/>
      <c r="H110" s="133"/>
      <c r="I110" s="133"/>
      <c r="J110" s="133"/>
      <c r="K110" s="133"/>
      <c r="L110" s="132" t="s">
        <v>441</v>
      </c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2" t="s">
        <v>526</v>
      </c>
      <c r="AT110" s="133"/>
      <c r="AU110" s="132" t="s">
        <v>668</v>
      </c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0">
        <f>'Výkaz výměr'!F114</f>
        <v>355.1</v>
      </c>
      <c r="CL110" s="131"/>
      <c r="CM110" s="131"/>
      <c r="CN110" s="131"/>
      <c r="CO110" s="131"/>
      <c r="CP110" s="130">
        <f>'Výkaz výměr'!G114</f>
        <v>0</v>
      </c>
      <c r="CQ110" s="131"/>
      <c r="CR110" s="131"/>
      <c r="CS110" s="131"/>
      <c r="CT110" s="131"/>
      <c r="CU110" s="131"/>
      <c r="CV110" s="131"/>
      <c r="CW110" s="131"/>
      <c r="CX110" s="130">
        <f>IR110*CK110</f>
        <v>0</v>
      </c>
      <c r="CY110" s="131"/>
      <c r="CZ110" s="131"/>
      <c r="DA110" s="131"/>
      <c r="DB110" s="131"/>
      <c r="DC110" s="131"/>
      <c r="DD110" s="131"/>
      <c r="DE110" s="131"/>
      <c r="DF110" s="130">
        <f>IS110*CK110</f>
        <v>0</v>
      </c>
      <c r="DG110" s="131"/>
      <c r="DH110" s="131"/>
      <c r="DI110" s="131"/>
      <c r="DJ110" s="131"/>
      <c r="DK110" s="131"/>
      <c r="DL110" s="131"/>
      <c r="DM110" s="131"/>
      <c r="DN110" s="130">
        <f>IR110*CK110+IS110*CK110</f>
        <v>0</v>
      </c>
      <c r="DO110" s="131"/>
      <c r="DP110" s="131"/>
      <c r="DQ110" s="131"/>
      <c r="DR110" s="131"/>
      <c r="DS110" s="131"/>
      <c r="DT110" s="131"/>
      <c r="DU110" s="131"/>
      <c r="DV110" s="130">
        <f>'Výkaz výměr'!L114</f>
        <v>0</v>
      </c>
      <c r="DW110" s="131"/>
      <c r="DX110" s="131"/>
      <c r="DY110" s="131"/>
      <c r="DZ110" s="131"/>
      <c r="EA110" s="131"/>
      <c r="EB110" s="131"/>
      <c r="EC110" s="131"/>
      <c r="ED110" s="130">
        <f>DV110*CK110</f>
        <v>0</v>
      </c>
      <c r="EE110" s="131"/>
      <c r="EF110" s="131"/>
      <c r="EG110" s="131"/>
      <c r="EH110" s="131"/>
      <c r="EI110" s="131"/>
      <c r="EJ110" s="131"/>
      <c r="EK110" s="131"/>
      <c r="EL110" s="132"/>
      <c r="EM110" s="133"/>
      <c r="EN110" s="133"/>
      <c r="EO110" s="133"/>
      <c r="EP110" s="133"/>
      <c r="EQ110" s="133"/>
      <c r="IR110" s="42">
        <f>CP110*1</f>
        <v>0</v>
      </c>
      <c r="IS110" s="42">
        <f>CP110*(1-1)</f>
        <v>0</v>
      </c>
    </row>
    <row r="111" spans="1:147" ht="12.75">
      <c r="A111" s="136" t="s">
        <v>5</v>
      </c>
      <c r="B111" s="137"/>
      <c r="C111" s="136" t="s">
        <v>5</v>
      </c>
      <c r="D111" s="137"/>
      <c r="E111" s="137"/>
      <c r="F111" s="136"/>
      <c r="G111" s="137"/>
      <c r="H111" s="137"/>
      <c r="I111" s="137"/>
      <c r="J111" s="137"/>
      <c r="K111" s="137"/>
      <c r="L111" s="136" t="s">
        <v>442</v>
      </c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6" t="s">
        <v>5</v>
      </c>
      <c r="AT111" s="137"/>
      <c r="AU111" s="136" t="s">
        <v>5</v>
      </c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8" t="s">
        <v>5</v>
      </c>
      <c r="CL111" s="139"/>
      <c r="CM111" s="139"/>
      <c r="CN111" s="139"/>
      <c r="CO111" s="139"/>
      <c r="CP111" s="138" t="s">
        <v>5</v>
      </c>
      <c r="CQ111" s="139"/>
      <c r="CR111" s="139"/>
      <c r="CS111" s="139"/>
      <c r="CT111" s="139"/>
      <c r="CU111" s="139"/>
      <c r="CV111" s="139"/>
      <c r="CW111" s="139"/>
      <c r="CX111" s="145">
        <f>CX112+CX115+CX118+CX147+CX180+CX189+CX198</f>
        <v>0</v>
      </c>
      <c r="CY111" s="146"/>
      <c r="CZ111" s="146"/>
      <c r="DA111" s="146"/>
      <c r="DB111" s="146"/>
      <c r="DC111" s="146"/>
      <c r="DD111" s="146"/>
      <c r="DE111" s="146"/>
      <c r="DF111" s="144">
        <f>DF112+DF115+DF118+DF147+DF180+DF189+DF198</f>
        <v>0</v>
      </c>
      <c r="DG111" s="139"/>
      <c r="DH111" s="139"/>
      <c r="DI111" s="139"/>
      <c r="DJ111" s="139"/>
      <c r="DK111" s="139"/>
      <c r="DL111" s="139"/>
      <c r="DM111" s="139"/>
      <c r="DN111" s="144">
        <f>DN112+DN115+DN118+DN147+DN180+DN189+DN198</f>
        <v>0</v>
      </c>
      <c r="DO111" s="139"/>
      <c r="DP111" s="139"/>
      <c r="DQ111" s="139"/>
      <c r="DR111" s="139"/>
      <c r="DS111" s="139"/>
      <c r="DT111" s="139"/>
      <c r="DU111" s="139"/>
      <c r="DV111" s="138" t="s">
        <v>5</v>
      </c>
      <c r="DW111" s="139"/>
      <c r="DX111" s="139"/>
      <c r="DY111" s="139"/>
      <c r="DZ111" s="139"/>
      <c r="EA111" s="139"/>
      <c r="EB111" s="139"/>
      <c r="EC111" s="139"/>
      <c r="ED111" s="144">
        <f>ED112+ED115+ED118+ED147+ED180+ED189+ED198</f>
        <v>3389.2377226</v>
      </c>
      <c r="EE111" s="139"/>
      <c r="EF111" s="139"/>
      <c r="EG111" s="139"/>
      <c r="EH111" s="139"/>
      <c r="EI111" s="139"/>
      <c r="EJ111" s="139"/>
      <c r="EK111" s="139"/>
      <c r="EL111" s="136" t="s">
        <v>5</v>
      </c>
      <c r="EM111" s="137"/>
      <c r="EN111" s="137"/>
      <c r="EO111" s="137"/>
      <c r="EP111" s="137"/>
      <c r="EQ111" s="137"/>
    </row>
    <row r="112" spans="1:147" ht="12.75">
      <c r="A112" s="136" t="s">
        <v>5</v>
      </c>
      <c r="B112" s="137"/>
      <c r="C112" s="136" t="s">
        <v>5</v>
      </c>
      <c r="D112" s="137"/>
      <c r="E112" s="137"/>
      <c r="F112" s="136" t="s">
        <v>6</v>
      </c>
      <c r="G112" s="137"/>
      <c r="H112" s="137"/>
      <c r="I112" s="137"/>
      <c r="J112" s="137"/>
      <c r="K112" s="137"/>
      <c r="L112" s="136" t="s">
        <v>347</v>
      </c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6" t="s">
        <v>5</v>
      </c>
      <c r="AT112" s="137"/>
      <c r="AU112" s="136" t="s">
        <v>5</v>
      </c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8" t="s">
        <v>5</v>
      </c>
      <c r="CL112" s="139"/>
      <c r="CM112" s="139"/>
      <c r="CN112" s="139"/>
      <c r="CO112" s="139"/>
      <c r="CP112" s="138" t="s">
        <v>5</v>
      </c>
      <c r="CQ112" s="139"/>
      <c r="CR112" s="139"/>
      <c r="CS112" s="139"/>
      <c r="CT112" s="139"/>
      <c r="CU112" s="139"/>
      <c r="CV112" s="139"/>
      <c r="CW112" s="139"/>
      <c r="CX112" s="134">
        <f>SUM(CX113:CX114)</f>
        <v>0</v>
      </c>
      <c r="CY112" s="135"/>
      <c r="CZ112" s="135"/>
      <c r="DA112" s="135"/>
      <c r="DB112" s="135"/>
      <c r="DC112" s="135"/>
      <c r="DD112" s="135"/>
      <c r="DE112" s="135"/>
      <c r="DF112" s="144">
        <f>SUM(DF113:DF114)</f>
        <v>0</v>
      </c>
      <c r="DG112" s="139"/>
      <c r="DH112" s="139"/>
      <c r="DI112" s="139"/>
      <c r="DJ112" s="139"/>
      <c r="DK112" s="139"/>
      <c r="DL112" s="139"/>
      <c r="DM112" s="139"/>
      <c r="DN112" s="144">
        <f>SUM(DN113:DN114)</f>
        <v>0</v>
      </c>
      <c r="DO112" s="139"/>
      <c r="DP112" s="139"/>
      <c r="DQ112" s="139"/>
      <c r="DR112" s="139"/>
      <c r="DS112" s="139"/>
      <c r="DT112" s="139"/>
      <c r="DU112" s="139"/>
      <c r="DV112" s="138" t="s">
        <v>5</v>
      </c>
      <c r="DW112" s="139"/>
      <c r="DX112" s="139"/>
      <c r="DY112" s="139"/>
      <c r="DZ112" s="139"/>
      <c r="EA112" s="139"/>
      <c r="EB112" s="139"/>
      <c r="EC112" s="139"/>
      <c r="ED112" s="144">
        <f>SUM(ED113:ED114)</f>
        <v>0</v>
      </c>
      <c r="EE112" s="139"/>
      <c r="EF112" s="139"/>
      <c r="EG112" s="139"/>
      <c r="EH112" s="139"/>
      <c r="EI112" s="139"/>
      <c r="EJ112" s="139"/>
      <c r="EK112" s="139"/>
      <c r="EL112" s="136" t="s">
        <v>5</v>
      </c>
      <c r="EM112" s="137"/>
      <c r="EN112" s="137"/>
      <c r="EO112" s="137"/>
      <c r="EP112" s="137"/>
      <c r="EQ112" s="137"/>
    </row>
    <row r="113" spans="1:253" ht="12.75">
      <c r="A113" s="142" t="s">
        <v>95</v>
      </c>
      <c r="B113" s="143"/>
      <c r="C113" s="142" t="s">
        <v>199</v>
      </c>
      <c r="D113" s="143"/>
      <c r="E113" s="143"/>
      <c r="F113" s="142" t="s">
        <v>204</v>
      </c>
      <c r="G113" s="143"/>
      <c r="H113" s="143"/>
      <c r="I113" s="143"/>
      <c r="J113" s="143"/>
      <c r="K113" s="143"/>
      <c r="L113" s="142" t="s">
        <v>350</v>
      </c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2" t="s">
        <v>527</v>
      </c>
      <c r="AT113" s="143"/>
      <c r="AU113" s="142" t="s">
        <v>608</v>
      </c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0">
        <f>'Výkaz výměr'!F117</f>
        <v>4.5</v>
      </c>
      <c r="CL113" s="141"/>
      <c r="CM113" s="141"/>
      <c r="CN113" s="141"/>
      <c r="CO113" s="141"/>
      <c r="CP113" s="140">
        <f>'Výkaz výměr'!G117</f>
        <v>0</v>
      </c>
      <c r="CQ113" s="141"/>
      <c r="CR113" s="141"/>
      <c r="CS113" s="141"/>
      <c r="CT113" s="141"/>
      <c r="CU113" s="141"/>
      <c r="CV113" s="141"/>
      <c r="CW113" s="141"/>
      <c r="CX113" s="140">
        <f>IR113*CK113</f>
        <v>0</v>
      </c>
      <c r="CY113" s="141"/>
      <c r="CZ113" s="141"/>
      <c r="DA113" s="141"/>
      <c r="DB113" s="141"/>
      <c r="DC113" s="141"/>
      <c r="DD113" s="141"/>
      <c r="DE113" s="141"/>
      <c r="DF113" s="140">
        <f>IS113*CK113</f>
        <v>0</v>
      </c>
      <c r="DG113" s="141"/>
      <c r="DH113" s="141"/>
      <c r="DI113" s="141"/>
      <c r="DJ113" s="141"/>
      <c r="DK113" s="141"/>
      <c r="DL113" s="141"/>
      <c r="DM113" s="141"/>
      <c r="DN113" s="140">
        <f>IR113*CK113+IS113*CK113</f>
        <v>0</v>
      </c>
      <c r="DO113" s="141"/>
      <c r="DP113" s="141"/>
      <c r="DQ113" s="141"/>
      <c r="DR113" s="141"/>
      <c r="DS113" s="141"/>
      <c r="DT113" s="141"/>
      <c r="DU113" s="141"/>
      <c r="DV113" s="140">
        <f>'Výkaz výměr'!L117</f>
        <v>0</v>
      </c>
      <c r="DW113" s="141"/>
      <c r="DX113" s="141"/>
      <c r="DY113" s="141"/>
      <c r="DZ113" s="141"/>
      <c r="EA113" s="141"/>
      <c r="EB113" s="141"/>
      <c r="EC113" s="141"/>
      <c r="ED113" s="140">
        <f>DV113*CK113</f>
        <v>0</v>
      </c>
      <c r="EE113" s="141"/>
      <c r="EF113" s="141"/>
      <c r="EG113" s="141"/>
      <c r="EH113" s="141"/>
      <c r="EI113" s="141"/>
      <c r="EJ113" s="141"/>
      <c r="EK113" s="141"/>
      <c r="EL113" s="142"/>
      <c r="EM113" s="143"/>
      <c r="EN113" s="143"/>
      <c r="EO113" s="143"/>
      <c r="EP113" s="143"/>
      <c r="EQ113" s="143"/>
      <c r="IR113" s="43">
        <f>CP113*0</f>
        <v>0</v>
      </c>
      <c r="IS113" s="43">
        <f>CP113*(1-0)</f>
        <v>0</v>
      </c>
    </row>
    <row r="114" spans="1:253" ht="12.75">
      <c r="A114" s="142" t="s">
        <v>96</v>
      </c>
      <c r="B114" s="143"/>
      <c r="C114" s="142" t="s">
        <v>199</v>
      </c>
      <c r="D114" s="143"/>
      <c r="E114" s="143"/>
      <c r="F114" s="142" t="s">
        <v>205</v>
      </c>
      <c r="G114" s="143"/>
      <c r="H114" s="143"/>
      <c r="I114" s="143"/>
      <c r="J114" s="143"/>
      <c r="K114" s="143"/>
      <c r="L114" s="142" t="s">
        <v>443</v>
      </c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2" t="s">
        <v>527</v>
      </c>
      <c r="AT114" s="143"/>
      <c r="AU114" s="142" t="s">
        <v>609</v>
      </c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0">
        <f>'Výkaz výměr'!F118</f>
        <v>1</v>
      </c>
      <c r="CL114" s="141"/>
      <c r="CM114" s="141"/>
      <c r="CN114" s="141"/>
      <c r="CO114" s="141"/>
      <c r="CP114" s="140">
        <f>'Výkaz výměr'!G118</f>
        <v>0</v>
      </c>
      <c r="CQ114" s="141"/>
      <c r="CR114" s="141"/>
      <c r="CS114" s="141"/>
      <c r="CT114" s="141"/>
      <c r="CU114" s="141"/>
      <c r="CV114" s="141"/>
      <c r="CW114" s="141"/>
      <c r="CX114" s="140">
        <f>IR114*CK114</f>
        <v>0</v>
      </c>
      <c r="CY114" s="141"/>
      <c r="CZ114" s="141"/>
      <c r="DA114" s="141"/>
      <c r="DB114" s="141"/>
      <c r="DC114" s="141"/>
      <c r="DD114" s="141"/>
      <c r="DE114" s="141"/>
      <c r="DF114" s="140">
        <f>IS114*CK114</f>
        <v>0</v>
      </c>
      <c r="DG114" s="141"/>
      <c r="DH114" s="141"/>
      <c r="DI114" s="141"/>
      <c r="DJ114" s="141"/>
      <c r="DK114" s="141"/>
      <c r="DL114" s="141"/>
      <c r="DM114" s="141"/>
      <c r="DN114" s="140">
        <f>IR114*CK114+IS114*CK114</f>
        <v>0</v>
      </c>
      <c r="DO114" s="141"/>
      <c r="DP114" s="141"/>
      <c r="DQ114" s="141"/>
      <c r="DR114" s="141"/>
      <c r="DS114" s="141"/>
      <c r="DT114" s="141"/>
      <c r="DU114" s="141"/>
      <c r="DV114" s="140">
        <f>'Výkaz výměr'!L118</f>
        <v>0</v>
      </c>
      <c r="DW114" s="141"/>
      <c r="DX114" s="141"/>
      <c r="DY114" s="141"/>
      <c r="DZ114" s="141"/>
      <c r="EA114" s="141"/>
      <c r="EB114" s="141"/>
      <c r="EC114" s="141"/>
      <c r="ED114" s="140">
        <f>DV114*CK114</f>
        <v>0</v>
      </c>
      <c r="EE114" s="141"/>
      <c r="EF114" s="141"/>
      <c r="EG114" s="141"/>
      <c r="EH114" s="141"/>
      <c r="EI114" s="141"/>
      <c r="EJ114" s="141"/>
      <c r="EK114" s="141"/>
      <c r="EL114" s="142"/>
      <c r="EM114" s="143"/>
      <c r="EN114" s="143"/>
      <c r="EO114" s="143"/>
      <c r="EP114" s="143"/>
      <c r="EQ114" s="143"/>
      <c r="IR114" s="43">
        <f>CP114*0</f>
        <v>0</v>
      </c>
      <c r="IS114" s="43">
        <f>CP114*(1-0)</f>
        <v>0</v>
      </c>
    </row>
    <row r="115" spans="1:147" ht="12.75">
      <c r="A115" s="136" t="s">
        <v>5</v>
      </c>
      <c r="B115" s="137"/>
      <c r="C115" s="136" t="s">
        <v>5</v>
      </c>
      <c r="D115" s="137"/>
      <c r="E115" s="137"/>
      <c r="F115" s="136" t="s">
        <v>7</v>
      </c>
      <c r="G115" s="137"/>
      <c r="H115" s="137"/>
      <c r="I115" s="137"/>
      <c r="J115" s="137"/>
      <c r="K115" s="137"/>
      <c r="L115" s="136" t="s">
        <v>352</v>
      </c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6" t="s">
        <v>5</v>
      </c>
      <c r="AT115" s="137"/>
      <c r="AU115" s="136" t="s">
        <v>5</v>
      </c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8" t="s">
        <v>5</v>
      </c>
      <c r="CL115" s="139"/>
      <c r="CM115" s="139"/>
      <c r="CN115" s="139"/>
      <c r="CO115" s="139"/>
      <c r="CP115" s="138" t="s">
        <v>5</v>
      </c>
      <c r="CQ115" s="139"/>
      <c r="CR115" s="139"/>
      <c r="CS115" s="139"/>
      <c r="CT115" s="139"/>
      <c r="CU115" s="139"/>
      <c r="CV115" s="139"/>
      <c r="CW115" s="139"/>
      <c r="CX115" s="134">
        <f>SUM(CX116:CX117)</f>
        <v>0</v>
      </c>
      <c r="CY115" s="135"/>
      <c r="CZ115" s="135"/>
      <c r="DA115" s="135"/>
      <c r="DB115" s="135"/>
      <c r="DC115" s="135"/>
      <c r="DD115" s="135"/>
      <c r="DE115" s="135"/>
      <c r="DF115" s="144">
        <f>SUM(DF116:DF117)</f>
        <v>0</v>
      </c>
      <c r="DG115" s="139"/>
      <c r="DH115" s="139"/>
      <c r="DI115" s="139"/>
      <c r="DJ115" s="139"/>
      <c r="DK115" s="139"/>
      <c r="DL115" s="139"/>
      <c r="DM115" s="139"/>
      <c r="DN115" s="144">
        <f>SUM(DN116:DN117)</f>
        <v>0</v>
      </c>
      <c r="DO115" s="139"/>
      <c r="DP115" s="139"/>
      <c r="DQ115" s="139"/>
      <c r="DR115" s="139"/>
      <c r="DS115" s="139"/>
      <c r="DT115" s="139"/>
      <c r="DU115" s="139"/>
      <c r="DV115" s="138" t="s">
        <v>5</v>
      </c>
      <c r="DW115" s="139"/>
      <c r="DX115" s="139"/>
      <c r="DY115" s="139"/>
      <c r="DZ115" s="139"/>
      <c r="EA115" s="139"/>
      <c r="EB115" s="139"/>
      <c r="EC115" s="139"/>
      <c r="ED115" s="144">
        <f>SUM(ED116:ED117)</f>
        <v>0.8972809999999999</v>
      </c>
      <c r="EE115" s="139"/>
      <c r="EF115" s="139"/>
      <c r="EG115" s="139"/>
      <c r="EH115" s="139"/>
      <c r="EI115" s="139"/>
      <c r="EJ115" s="139"/>
      <c r="EK115" s="139"/>
      <c r="EL115" s="136" t="s">
        <v>5</v>
      </c>
      <c r="EM115" s="137"/>
      <c r="EN115" s="137"/>
      <c r="EO115" s="137"/>
      <c r="EP115" s="137"/>
      <c r="EQ115" s="137"/>
    </row>
    <row r="116" spans="1:253" ht="12.75">
      <c r="A116" s="142" t="s">
        <v>97</v>
      </c>
      <c r="B116" s="143"/>
      <c r="C116" s="142" t="s">
        <v>199</v>
      </c>
      <c r="D116" s="143"/>
      <c r="E116" s="143"/>
      <c r="F116" s="142" t="s">
        <v>206</v>
      </c>
      <c r="G116" s="143"/>
      <c r="H116" s="143"/>
      <c r="I116" s="143"/>
      <c r="J116" s="143"/>
      <c r="K116" s="143"/>
      <c r="L116" s="142" t="s">
        <v>353</v>
      </c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2" t="s">
        <v>528</v>
      </c>
      <c r="AT116" s="143"/>
      <c r="AU116" s="142" t="s">
        <v>669</v>
      </c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  <c r="CI116" s="143"/>
      <c r="CJ116" s="143"/>
      <c r="CK116" s="140">
        <f>'Výkaz výměr'!F120</f>
        <v>1043.35</v>
      </c>
      <c r="CL116" s="141"/>
      <c r="CM116" s="141"/>
      <c r="CN116" s="141"/>
      <c r="CO116" s="141"/>
      <c r="CP116" s="140">
        <f>'Výkaz výměr'!G120</f>
        <v>0</v>
      </c>
      <c r="CQ116" s="141"/>
      <c r="CR116" s="141"/>
      <c r="CS116" s="141"/>
      <c r="CT116" s="141"/>
      <c r="CU116" s="141"/>
      <c r="CV116" s="141"/>
      <c r="CW116" s="141"/>
      <c r="CX116" s="140">
        <f>IR116*CK116</f>
        <v>0</v>
      </c>
      <c r="CY116" s="141"/>
      <c r="CZ116" s="141"/>
      <c r="DA116" s="141"/>
      <c r="DB116" s="141"/>
      <c r="DC116" s="141"/>
      <c r="DD116" s="141"/>
      <c r="DE116" s="141"/>
      <c r="DF116" s="140">
        <f>IS116*CK116</f>
        <v>0</v>
      </c>
      <c r="DG116" s="141"/>
      <c r="DH116" s="141"/>
      <c r="DI116" s="141"/>
      <c r="DJ116" s="141"/>
      <c r="DK116" s="141"/>
      <c r="DL116" s="141"/>
      <c r="DM116" s="141"/>
      <c r="DN116" s="140">
        <f>IR116*CK116+IS116*CK116</f>
        <v>0</v>
      </c>
      <c r="DO116" s="141"/>
      <c r="DP116" s="141"/>
      <c r="DQ116" s="141"/>
      <c r="DR116" s="141"/>
      <c r="DS116" s="141"/>
      <c r="DT116" s="141"/>
      <c r="DU116" s="141"/>
      <c r="DV116" s="140">
        <f>'Výkaz výměr'!L120</f>
        <v>0.00086</v>
      </c>
      <c r="DW116" s="141"/>
      <c r="DX116" s="141"/>
      <c r="DY116" s="141"/>
      <c r="DZ116" s="141"/>
      <c r="EA116" s="141"/>
      <c r="EB116" s="141"/>
      <c r="EC116" s="141"/>
      <c r="ED116" s="140">
        <f>DV116*CK116</f>
        <v>0.8972809999999999</v>
      </c>
      <c r="EE116" s="141"/>
      <c r="EF116" s="141"/>
      <c r="EG116" s="141"/>
      <c r="EH116" s="141"/>
      <c r="EI116" s="141"/>
      <c r="EJ116" s="141"/>
      <c r="EK116" s="141"/>
      <c r="EL116" s="142" t="s">
        <v>559</v>
      </c>
      <c r="EM116" s="143"/>
      <c r="EN116" s="143"/>
      <c r="EO116" s="143"/>
      <c r="EP116" s="143"/>
      <c r="EQ116" s="143"/>
      <c r="IR116" s="43">
        <f>CP116*0.0729661016949153</f>
        <v>0</v>
      </c>
      <c r="IS116" s="43">
        <f>CP116*(1-0.0729661016949153)</f>
        <v>0</v>
      </c>
    </row>
    <row r="117" spans="1:253" ht="12.75">
      <c r="A117" s="142" t="s">
        <v>98</v>
      </c>
      <c r="B117" s="143"/>
      <c r="C117" s="142" t="s">
        <v>199</v>
      </c>
      <c r="D117" s="143"/>
      <c r="E117" s="143"/>
      <c r="F117" s="142" t="s">
        <v>207</v>
      </c>
      <c r="G117" s="143"/>
      <c r="H117" s="143"/>
      <c r="I117" s="143"/>
      <c r="J117" s="143"/>
      <c r="K117" s="143"/>
      <c r="L117" s="142" t="s">
        <v>354</v>
      </c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2" t="s">
        <v>528</v>
      </c>
      <c r="AT117" s="143"/>
      <c r="AU117" s="142" t="s">
        <v>669</v>
      </c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0">
        <f>'Výkaz výměr'!F121</f>
        <v>1043.35</v>
      </c>
      <c r="CL117" s="141"/>
      <c r="CM117" s="141"/>
      <c r="CN117" s="141"/>
      <c r="CO117" s="141"/>
      <c r="CP117" s="140">
        <f>'Výkaz výměr'!G121</f>
        <v>0</v>
      </c>
      <c r="CQ117" s="141"/>
      <c r="CR117" s="141"/>
      <c r="CS117" s="141"/>
      <c r="CT117" s="141"/>
      <c r="CU117" s="141"/>
      <c r="CV117" s="141"/>
      <c r="CW117" s="141"/>
      <c r="CX117" s="140">
        <f>IR117*CK117</f>
        <v>0</v>
      </c>
      <c r="CY117" s="141"/>
      <c r="CZ117" s="141"/>
      <c r="DA117" s="141"/>
      <c r="DB117" s="141"/>
      <c r="DC117" s="141"/>
      <c r="DD117" s="141"/>
      <c r="DE117" s="141"/>
      <c r="DF117" s="140">
        <f>IS117*CK117</f>
        <v>0</v>
      </c>
      <c r="DG117" s="141"/>
      <c r="DH117" s="141"/>
      <c r="DI117" s="141"/>
      <c r="DJ117" s="141"/>
      <c r="DK117" s="141"/>
      <c r="DL117" s="141"/>
      <c r="DM117" s="141"/>
      <c r="DN117" s="140">
        <f>IR117*CK117+IS117*CK117</f>
        <v>0</v>
      </c>
      <c r="DO117" s="141"/>
      <c r="DP117" s="141"/>
      <c r="DQ117" s="141"/>
      <c r="DR117" s="141"/>
      <c r="DS117" s="141"/>
      <c r="DT117" s="141"/>
      <c r="DU117" s="141"/>
      <c r="DV117" s="140">
        <f>'Výkaz výměr'!L121</f>
        <v>0</v>
      </c>
      <c r="DW117" s="141"/>
      <c r="DX117" s="141"/>
      <c r="DY117" s="141"/>
      <c r="DZ117" s="141"/>
      <c r="EA117" s="141"/>
      <c r="EB117" s="141"/>
      <c r="EC117" s="141"/>
      <c r="ED117" s="140">
        <f>DV117*CK117</f>
        <v>0</v>
      </c>
      <c r="EE117" s="141"/>
      <c r="EF117" s="141"/>
      <c r="EG117" s="141"/>
      <c r="EH117" s="141"/>
      <c r="EI117" s="141"/>
      <c r="EJ117" s="141"/>
      <c r="EK117" s="141"/>
      <c r="EL117" s="142" t="s">
        <v>559</v>
      </c>
      <c r="EM117" s="143"/>
      <c r="EN117" s="143"/>
      <c r="EO117" s="143"/>
      <c r="EP117" s="143"/>
      <c r="EQ117" s="143"/>
      <c r="IR117" s="43">
        <f>CP117*0</f>
        <v>0</v>
      </c>
      <c r="IS117" s="43">
        <f>CP117*(1-0)</f>
        <v>0</v>
      </c>
    </row>
    <row r="118" spans="1:147" ht="12.75">
      <c r="A118" s="136" t="s">
        <v>5</v>
      </c>
      <c r="B118" s="137"/>
      <c r="C118" s="136" t="s">
        <v>5</v>
      </c>
      <c r="D118" s="137"/>
      <c r="E118" s="137"/>
      <c r="F118" s="136" t="s">
        <v>92</v>
      </c>
      <c r="G118" s="137"/>
      <c r="H118" s="137"/>
      <c r="I118" s="137"/>
      <c r="J118" s="137"/>
      <c r="K118" s="137"/>
      <c r="L118" s="136" t="s">
        <v>355</v>
      </c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6" t="s">
        <v>5</v>
      </c>
      <c r="AT118" s="137"/>
      <c r="AU118" s="136" t="s">
        <v>5</v>
      </c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8" t="s">
        <v>5</v>
      </c>
      <c r="CL118" s="139"/>
      <c r="CM118" s="139"/>
      <c r="CN118" s="139"/>
      <c r="CO118" s="139"/>
      <c r="CP118" s="138" t="s">
        <v>5</v>
      </c>
      <c r="CQ118" s="139"/>
      <c r="CR118" s="139"/>
      <c r="CS118" s="139"/>
      <c r="CT118" s="139"/>
      <c r="CU118" s="139"/>
      <c r="CV118" s="139"/>
      <c r="CW118" s="139"/>
      <c r="CX118" s="134">
        <f>SUM(CX119:CX146)</f>
        <v>0</v>
      </c>
      <c r="CY118" s="135"/>
      <c r="CZ118" s="135"/>
      <c r="DA118" s="135"/>
      <c r="DB118" s="135"/>
      <c r="DC118" s="135"/>
      <c r="DD118" s="135"/>
      <c r="DE118" s="135"/>
      <c r="DF118" s="144">
        <f>SUM(DF119:DF146)</f>
        <v>0</v>
      </c>
      <c r="DG118" s="139"/>
      <c r="DH118" s="139"/>
      <c r="DI118" s="139"/>
      <c r="DJ118" s="139"/>
      <c r="DK118" s="139"/>
      <c r="DL118" s="139"/>
      <c r="DM118" s="139"/>
      <c r="DN118" s="144">
        <f>SUM(DN119:DN146)</f>
        <v>0</v>
      </c>
      <c r="DO118" s="139"/>
      <c r="DP118" s="139"/>
      <c r="DQ118" s="139"/>
      <c r="DR118" s="139"/>
      <c r="DS118" s="139"/>
      <c r="DT118" s="139"/>
      <c r="DU118" s="139"/>
      <c r="DV118" s="138" t="s">
        <v>5</v>
      </c>
      <c r="DW118" s="139"/>
      <c r="DX118" s="139"/>
      <c r="DY118" s="139"/>
      <c r="DZ118" s="139"/>
      <c r="EA118" s="139"/>
      <c r="EB118" s="139"/>
      <c r="EC118" s="139"/>
      <c r="ED118" s="144">
        <f>SUM(ED119:ED146)</f>
        <v>1418.3184485000002</v>
      </c>
      <c r="EE118" s="139"/>
      <c r="EF118" s="139"/>
      <c r="EG118" s="139"/>
      <c r="EH118" s="139"/>
      <c r="EI118" s="139"/>
      <c r="EJ118" s="139"/>
      <c r="EK118" s="139"/>
      <c r="EL118" s="136" t="s">
        <v>5</v>
      </c>
      <c r="EM118" s="137"/>
      <c r="EN118" s="137"/>
      <c r="EO118" s="137"/>
      <c r="EP118" s="137"/>
      <c r="EQ118" s="137"/>
    </row>
    <row r="119" spans="1:253" ht="12.75">
      <c r="A119" s="142" t="s">
        <v>99</v>
      </c>
      <c r="B119" s="143"/>
      <c r="C119" s="142" t="s">
        <v>199</v>
      </c>
      <c r="D119" s="143"/>
      <c r="E119" s="143"/>
      <c r="F119" s="142" t="s">
        <v>208</v>
      </c>
      <c r="G119" s="143"/>
      <c r="H119" s="143"/>
      <c r="I119" s="143"/>
      <c r="J119" s="143"/>
      <c r="K119" s="143"/>
      <c r="L119" s="142" t="s">
        <v>356</v>
      </c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2" t="s">
        <v>528</v>
      </c>
      <c r="AT119" s="143"/>
      <c r="AU119" s="142" t="s">
        <v>611</v>
      </c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0">
        <f>'Výkaz výměr'!F123</f>
        <v>1025</v>
      </c>
      <c r="CL119" s="141"/>
      <c r="CM119" s="141"/>
      <c r="CN119" s="141"/>
      <c r="CO119" s="141"/>
      <c r="CP119" s="140">
        <f>'Výkaz výměr'!G123</f>
        <v>0</v>
      </c>
      <c r="CQ119" s="141"/>
      <c r="CR119" s="141"/>
      <c r="CS119" s="141"/>
      <c r="CT119" s="141"/>
      <c r="CU119" s="141"/>
      <c r="CV119" s="141"/>
      <c r="CW119" s="141"/>
      <c r="CX119" s="140">
        <f aca="true" t="shared" si="20" ref="CX119:CX146">IR119*CK119</f>
        <v>0</v>
      </c>
      <c r="CY119" s="141"/>
      <c r="CZ119" s="141"/>
      <c r="DA119" s="141"/>
      <c r="DB119" s="141"/>
      <c r="DC119" s="141"/>
      <c r="DD119" s="141"/>
      <c r="DE119" s="141"/>
      <c r="DF119" s="140">
        <f aca="true" t="shared" si="21" ref="DF119:DF146">IS119*CK119</f>
        <v>0</v>
      </c>
      <c r="DG119" s="141"/>
      <c r="DH119" s="141"/>
      <c r="DI119" s="141"/>
      <c r="DJ119" s="141"/>
      <c r="DK119" s="141"/>
      <c r="DL119" s="141"/>
      <c r="DM119" s="141"/>
      <c r="DN119" s="140">
        <f aca="true" t="shared" si="22" ref="DN119:DN146">IR119*CK119+IS119*CK119</f>
        <v>0</v>
      </c>
      <c r="DO119" s="141"/>
      <c r="DP119" s="141"/>
      <c r="DQ119" s="141"/>
      <c r="DR119" s="141"/>
      <c r="DS119" s="141"/>
      <c r="DT119" s="141"/>
      <c r="DU119" s="141"/>
      <c r="DV119" s="140">
        <f>'Výkaz výměr'!L123</f>
        <v>0.22</v>
      </c>
      <c r="DW119" s="141"/>
      <c r="DX119" s="141"/>
      <c r="DY119" s="141"/>
      <c r="DZ119" s="141"/>
      <c r="EA119" s="141"/>
      <c r="EB119" s="141"/>
      <c r="EC119" s="141"/>
      <c r="ED119" s="140">
        <f aca="true" t="shared" si="23" ref="ED119:ED146">DV119*CK119</f>
        <v>225.5</v>
      </c>
      <c r="EE119" s="141"/>
      <c r="EF119" s="141"/>
      <c r="EG119" s="141"/>
      <c r="EH119" s="141"/>
      <c r="EI119" s="141"/>
      <c r="EJ119" s="141"/>
      <c r="EK119" s="141"/>
      <c r="EL119" s="142" t="s">
        <v>559</v>
      </c>
      <c r="EM119" s="143"/>
      <c r="EN119" s="143"/>
      <c r="EO119" s="143"/>
      <c r="EP119" s="143"/>
      <c r="EQ119" s="143"/>
      <c r="IR119" s="43">
        <f aca="true" t="shared" si="24" ref="IR119:IR127">CP119*0</f>
        <v>0</v>
      </c>
      <c r="IS119" s="43">
        <f aca="true" t="shared" si="25" ref="IS119:IS127">CP119*(1-0)</f>
        <v>0</v>
      </c>
    </row>
    <row r="120" spans="1:253" ht="12.75">
      <c r="A120" s="142" t="s">
        <v>100</v>
      </c>
      <c r="B120" s="143"/>
      <c r="C120" s="142" t="s">
        <v>199</v>
      </c>
      <c r="D120" s="143"/>
      <c r="E120" s="143"/>
      <c r="F120" s="142" t="s">
        <v>209</v>
      </c>
      <c r="G120" s="143"/>
      <c r="H120" s="143"/>
      <c r="I120" s="143"/>
      <c r="J120" s="143"/>
      <c r="K120" s="143"/>
      <c r="L120" s="142" t="s">
        <v>357</v>
      </c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2" t="s">
        <v>528</v>
      </c>
      <c r="AT120" s="143"/>
      <c r="AU120" s="142" t="s">
        <v>612</v>
      </c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0">
        <f>'Výkaz výměr'!F124</f>
        <v>1575</v>
      </c>
      <c r="CL120" s="141"/>
      <c r="CM120" s="141"/>
      <c r="CN120" s="141"/>
      <c r="CO120" s="141"/>
      <c r="CP120" s="140">
        <f>'Výkaz výměr'!G124</f>
        <v>0</v>
      </c>
      <c r="CQ120" s="141"/>
      <c r="CR120" s="141"/>
      <c r="CS120" s="141"/>
      <c r="CT120" s="141"/>
      <c r="CU120" s="141"/>
      <c r="CV120" s="141"/>
      <c r="CW120" s="141"/>
      <c r="CX120" s="140">
        <f t="shared" si="20"/>
        <v>0</v>
      </c>
      <c r="CY120" s="141"/>
      <c r="CZ120" s="141"/>
      <c r="DA120" s="141"/>
      <c r="DB120" s="141"/>
      <c r="DC120" s="141"/>
      <c r="DD120" s="141"/>
      <c r="DE120" s="141"/>
      <c r="DF120" s="140">
        <f t="shared" si="21"/>
        <v>0</v>
      </c>
      <c r="DG120" s="141"/>
      <c r="DH120" s="141"/>
      <c r="DI120" s="141"/>
      <c r="DJ120" s="141"/>
      <c r="DK120" s="141"/>
      <c r="DL120" s="141"/>
      <c r="DM120" s="141"/>
      <c r="DN120" s="140">
        <f t="shared" si="22"/>
        <v>0</v>
      </c>
      <c r="DO120" s="141"/>
      <c r="DP120" s="141"/>
      <c r="DQ120" s="141"/>
      <c r="DR120" s="141"/>
      <c r="DS120" s="141"/>
      <c r="DT120" s="141"/>
      <c r="DU120" s="141"/>
      <c r="DV120" s="140">
        <f>'Výkaz výměr'!L124</f>
        <v>0.66</v>
      </c>
      <c r="DW120" s="141"/>
      <c r="DX120" s="141"/>
      <c r="DY120" s="141"/>
      <c r="DZ120" s="141"/>
      <c r="EA120" s="141"/>
      <c r="EB120" s="141"/>
      <c r="EC120" s="141"/>
      <c r="ED120" s="140">
        <f t="shared" si="23"/>
        <v>1039.5</v>
      </c>
      <c r="EE120" s="141"/>
      <c r="EF120" s="141"/>
      <c r="EG120" s="141"/>
      <c r="EH120" s="141"/>
      <c r="EI120" s="141"/>
      <c r="EJ120" s="141"/>
      <c r="EK120" s="141"/>
      <c r="EL120" s="142" t="s">
        <v>559</v>
      </c>
      <c r="EM120" s="143"/>
      <c r="EN120" s="143"/>
      <c r="EO120" s="143"/>
      <c r="EP120" s="143"/>
      <c r="EQ120" s="143"/>
      <c r="IR120" s="43">
        <f t="shared" si="24"/>
        <v>0</v>
      </c>
      <c r="IS120" s="43">
        <f t="shared" si="25"/>
        <v>0</v>
      </c>
    </row>
    <row r="121" spans="1:253" ht="12.75">
      <c r="A121" s="142" t="s">
        <v>101</v>
      </c>
      <c r="B121" s="143"/>
      <c r="C121" s="142" t="s">
        <v>199</v>
      </c>
      <c r="D121" s="143"/>
      <c r="E121" s="143"/>
      <c r="F121" s="142" t="s">
        <v>210</v>
      </c>
      <c r="G121" s="143"/>
      <c r="H121" s="143"/>
      <c r="I121" s="143"/>
      <c r="J121" s="143"/>
      <c r="K121" s="143"/>
      <c r="L121" s="142" t="s">
        <v>358</v>
      </c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2" t="s">
        <v>528</v>
      </c>
      <c r="AT121" s="143"/>
      <c r="AU121" s="142" t="s">
        <v>613</v>
      </c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0">
        <f>'Výkaz výměr'!F125</f>
        <v>550</v>
      </c>
      <c r="CL121" s="141"/>
      <c r="CM121" s="141"/>
      <c r="CN121" s="141"/>
      <c r="CO121" s="141"/>
      <c r="CP121" s="140">
        <f>'Výkaz výměr'!G125</f>
        <v>0</v>
      </c>
      <c r="CQ121" s="141"/>
      <c r="CR121" s="141"/>
      <c r="CS121" s="141"/>
      <c r="CT121" s="141"/>
      <c r="CU121" s="141"/>
      <c r="CV121" s="141"/>
      <c r="CW121" s="141"/>
      <c r="CX121" s="140">
        <f t="shared" si="20"/>
        <v>0</v>
      </c>
      <c r="CY121" s="141"/>
      <c r="CZ121" s="141"/>
      <c r="DA121" s="141"/>
      <c r="DB121" s="141"/>
      <c r="DC121" s="141"/>
      <c r="DD121" s="141"/>
      <c r="DE121" s="141"/>
      <c r="DF121" s="140">
        <f t="shared" si="21"/>
        <v>0</v>
      </c>
      <c r="DG121" s="141"/>
      <c r="DH121" s="141"/>
      <c r="DI121" s="141"/>
      <c r="DJ121" s="141"/>
      <c r="DK121" s="141"/>
      <c r="DL121" s="141"/>
      <c r="DM121" s="141"/>
      <c r="DN121" s="140">
        <f t="shared" si="22"/>
        <v>0</v>
      </c>
      <c r="DO121" s="141"/>
      <c r="DP121" s="141"/>
      <c r="DQ121" s="141"/>
      <c r="DR121" s="141"/>
      <c r="DS121" s="141"/>
      <c r="DT121" s="141"/>
      <c r="DU121" s="141"/>
      <c r="DV121" s="140">
        <f>'Výkaz výměr'!L125</f>
        <v>0.138</v>
      </c>
      <c r="DW121" s="141"/>
      <c r="DX121" s="141"/>
      <c r="DY121" s="141"/>
      <c r="DZ121" s="141"/>
      <c r="EA121" s="141"/>
      <c r="EB121" s="141"/>
      <c r="EC121" s="141"/>
      <c r="ED121" s="140">
        <f t="shared" si="23"/>
        <v>75.9</v>
      </c>
      <c r="EE121" s="141"/>
      <c r="EF121" s="141"/>
      <c r="EG121" s="141"/>
      <c r="EH121" s="141"/>
      <c r="EI121" s="141"/>
      <c r="EJ121" s="141"/>
      <c r="EK121" s="141"/>
      <c r="EL121" s="142" t="s">
        <v>559</v>
      </c>
      <c r="EM121" s="143"/>
      <c r="EN121" s="143"/>
      <c r="EO121" s="143"/>
      <c r="EP121" s="143"/>
      <c r="EQ121" s="143"/>
      <c r="IR121" s="43">
        <f t="shared" si="24"/>
        <v>0</v>
      </c>
      <c r="IS121" s="43">
        <f t="shared" si="25"/>
        <v>0</v>
      </c>
    </row>
    <row r="122" spans="1:253" ht="12.75">
      <c r="A122" s="142" t="s">
        <v>102</v>
      </c>
      <c r="B122" s="143"/>
      <c r="C122" s="142" t="s">
        <v>199</v>
      </c>
      <c r="D122" s="143"/>
      <c r="E122" s="143"/>
      <c r="F122" s="142" t="s">
        <v>211</v>
      </c>
      <c r="G122" s="143"/>
      <c r="H122" s="143"/>
      <c r="I122" s="143"/>
      <c r="J122" s="143"/>
      <c r="K122" s="143"/>
      <c r="L122" s="142" t="s">
        <v>359</v>
      </c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2" t="s">
        <v>526</v>
      </c>
      <c r="AT122" s="143"/>
      <c r="AU122" s="142" t="s">
        <v>614</v>
      </c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0">
        <f>'Výkaz výměr'!F126</f>
        <v>274.5</v>
      </c>
      <c r="CL122" s="141"/>
      <c r="CM122" s="141"/>
      <c r="CN122" s="141"/>
      <c r="CO122" s="141"/>
      <c r="CP122" s="140">
        <f>'Výkaz výměr'!G126</f>
        <v>0</v>
      </c>
      <c r="CQ122" s="141"/>
      <c r="CR122" s="141"/>
      <c r="CS122" s="141"/>
      <c r="CT122" s="141"/>
      <c r="CU122" s="141"/>
      <c r="CV122" s="141"/>
      <c r="CW122" s="141"/>
      <c r="CX122" s="140">
        <f t="shared" si="20"/>
        <v>0</v>
      </c>
      <c r="CY122" s="141"/>
      <c r="CZ122" s="141"/>
      <c r="DA122" s="141"/>
      <c r="DB122" s="141"/>
      <c r="DC122" s="141"/>
      <c r="DD122" s="141"/>
      <c r="DE122" s="141"/>
      <c r="DF122" s="140">
        <f t="shared" si="21"/>
        <v>0</v>
      </c>
      <c r="DG122" s="141"/>
      <c r="DH122" s="141"/>
      <c r="DI122" s="141"/>
      <c r="DJ122" s="141"/>
      <c r="DK122" s="141"/>
      <c r="DL122" s="141"/>
      <c r="DM122" s="141"/>
      <c r="DN122" s="140">
        <f t="shared" si="22"/>
        <v>0</v>
      </c>
      <c r="DO122" s="141"/>
      <c r="DP122" s="141"/>
      <c r="DQ122" s="141"/>
      <c r="DR122" s="141"/>
      <c r="DS122" s="141"/>
      <c r="DT122" s="141"/>
      <c r="DU122" s="141"/>
      <c r="DV122" s="140">
        <f>'Výkaz výměr'!L126</f>
        <v>0.27</v>
      </c>
      <c r="DW122" s="141"/>
      <c r="DX122" s="141"/>
      <c r="DY122" s="141"/>
      <c r="DZ122" s="141"/>
      <c r="EA122" s="141"/>
      <c r="EB122" s="141"/>
      <c r="EC122" s="141"/>
      <c r="ED122" s="140">
        <f t="shared" si="23"/>
        <v>74.11500000000001</v>
      </c>
      <c r="EE122" s="141"/>
      <c r="EF122" s="141"/>
      <c r="EG122" s="141"/>
      <c r="EH122" s="141"/>
      <c r="EI122" s="141"/>
      <c r="EJ122" s="141"/>
      <c r="EK122" s="141"/>
      <c r="EL122" s="142" t="s">
        <v>559</v>
      </c>
      <c r="EM122" s="143"/>
      <c r="EN122" s="143"/>
      <c r="EO122" s="143"/>
      <c r="EP122" s="143"/>
      <c r="EQ122" s="143"/>
      <c r="IR122" s="43">
        <f t="shared" si="24"/>
        <v>0</v>
      </c>
      <c r="IS122" s="43">
        <f t="shared" si="25"/>
        <v>0</v>
      </c>
    </row>
    <row r="123" spans="1:253" ht="12.75">
      <c r="A123" s="142" t="s">
        <v>103</v>
      </c>
      <c r="B123" s="143"/>
      <c r="C123" s="142" t="s">
        <v>199</v>
      </c>
      <c r="D123" s="143"/>
      <c r="E123" s="143"/>
      <c r="F123" s="142" t="s">
        <v>212</v>
      </c>
      <c r="G123" s="143"/>
      <c r="H123" s="143"/>
      <c r="I123" s="143"/>
      <c r="J123" s="143"/>
      <c r="K123" s="143"/>
      <c r="L123" s="142" t="s">
        <v>360</v>
      </c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2" t="s">
        <v>529</v>
      </c>
      <c r="AT123" s="143"/>
      <c r="AU123" s="142" t="s">
        <v>615</v>
      </c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0">
        <f>'Výkaz výměr'!F127</f>
        <v>1415.02</v>
      </c>
      <c r="CL123" s="141"/>
      <c r="CM123" s="141"/>
      <c r="CN123" s="141"/>
      <c r="CO123" s="141"/>
      <c r="CP123" s="140">
        <f>'Výkaz výměr'!G127</f>
        <v>0</v>
      </c>
      <c r="CQ123" s="141"/>
      <c r="CR123" s="141"/>
      <c r="CS123" s="141"/>
      <c r="CT123" s="141"/>
      <c r="CU123" s="141"/>
      <c r="CV123" s="141"/>
      <c r="CW123" s="141"/>
      <c r="CX123" s="140">
        <f t="shared" si="20"/>
        <v>0</v>
      </c>
      <c r="CY123" s="141"/>
      <c r="CZ123" s="141"/>
      <c r="DA123" s="141"/>
      <c r="DB123" s="141"/>
      <c r="DC123" s="141"/>
      <c r="DD123" s="141"/>
      <c r="DE123" s="141"/>
      <c r="DF123" s="140">
        <f t="shared" si="21"/>
        <v>0</v>
      </c>
      <c r="DG123" s="141"/>
      <c r="DH123" s="141"/>
      <c r="DI123" s="141"/>
      <c r="DJ123" s="141"/>
      <c r="DK123" s="141"/>
      <c r="DL123" s="141"/>
      <c r="DM123" s="141"/>
      <c r="DN123" s="140">
        <f t="shared" si="22"/>
        <v>0</v>
      </c>
      <c r="DO123" s="141"/>
      <c r="DP123" s="141"/>
      <c r="DQ123" s="141"/>
      <c r="DR123" s="141"/>
      <c r="DS123" s="141"/>
      <c r="DT123" s="141"/>
      <c r="DU123" s="141"/>
      <c r="DV123" s="140">
        <f>'Výkaz výměr'!L127</f>
        <v>0</v>
      </c>
      <c r="DW123" s="141"/>
      <c r="DX123" s="141"/>
      <c r="DY123" s="141"/>
      <c r="DZ123" s="141"/>
      <c r="EA123" s="141"/>
      <c r="EB123" s="141"/>
      <c r="EC123" s="141"/>
      <c r="ED123" s="140">
        <f t="shared" si="23"/>
        <v>0</v>
      </c>
      <c r="EE123" s="141"/>
      <c r="EF123" s="141"/>
      <c r="EG123" s="141"/>
      <c r="EH123" s="141"/>
      <c r="EI123" s="141"/>
      <c r="EJ123" s="141"/>
      <c r="EK123" s="141"/>
      <c r="EL123" s="142" t="s">
        <v>559</v>
      </c>
      <c r="EM123" s="143"/>
      <c r="EN123" s="143"/>
      <c r="EO123" s="143"/>
      <c r="EP123" s="143"/>
      <c r="EQ123" s="143"/>
      <c r="IR123" s="43">
        <f t="shared" si="24"/>
        <v>0</v>
      </c>
      <c r="IS123" s="43">
        <f t="shared" si="25"/>
        <v>0</v>
      </c>
    </row>
    <row r="124" spans="1:253" ht="12.75">
      <c r="A124" s="142" t="s">
        <v>104</v>
      </c>
      <c r="B124" s="143"/>
      <c r="C124" s="142" t="s">
        <v>199</v>
      </c>
      <c r="D124" s="143"/>
      <c r="E124" s="143"/>
      <c r="F124" s="142" t="s">
        <v>213</v>
      </c>
      <c r="G124" s="143"/>
      <c r="H124" s="143"/>
      <c r="I124" s="143"/>
      <c r="J124" s="143"/>
      <c r="K124" s="143"/>
      <c r="L124" s="142" t="s">
        <v>361</v>
      </c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2" t="s">
        <v>529</v>
      </c>
      <c r="AT124" s="143"/>
      <c r="AU124" s="142" t="s">
        <v>616</v>
      </c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0">
        <f>'Výkaz výměr'!F128</f>
        <v>1415.02</v>
      </c>
      <c r="CL124" s="141"/>
      <c r="CM124" s="141"/>
      <c r="CN124" s="141"/>
      <c r="CO124" s="141"/>
      <c r="CP124" s="140">
        <f>'Výkaz výměr'!G128</f>
        <v>0</v>
      </c>
      <c r="CQ124" s="141"/>
      <c r="CR124" s="141"/>
      <c r="CS124" s="141"/>
      <c r="CT124" s="141"/>
      <c r="CU124" s="141"/>
      <c r="CV124" s="141"/>
      <c r="CW124" s="141"/>
      <c r="CX124" s="140">
        <f t="shared" si="20"/>
        <v>0</v>
      </c>
      <c r="CY124" s="141"/>
      <c r="CZ124" s="141"/>
      <c r="DA124" s="141"/>
      <c r="DB124" s="141"/>
      <c r="DC124" s="141"/>
      <c r="DD124" s="141"/>
      <c r="DE124" s="141"/>
      <c r="DF124" s="140">
        <f t="shared" si="21"/>
        <v>0</v>
      </c>
      <c r="DG124" s="141"/>
      <c r="DH124" s="141"/>
      <c r="DI124" s="141"/>
      <c r="DJ124" s="141"/>
      <c r="DK124" s="141"/>
      <c r="DL124" s="141"/>
      <c r="DM124" s="141"/>
      <c r="DN124" s="140">
        <f t="shared" si="22"/>
        <v>0</v>
      </c>
      <c r="DO124" s="141"/>
      <c r="DP124" s="141"/>
      <c r="DQ124" s="141"/>
      <c r="DR124" s="141"/>
      <c r="DS124" s="141"/>
      <c r="DT124" s="141"/>
      <c r="DU124" s="141"/>
      <c r="DV124" s="140">
        <f>'Výkaz výměr'!L128</f>
        <v>0</v>
      </c>
      <c r="DW124" s="141"/>
      <c r="DX124" s="141"/>
      <c r="DY124" s="141"/>
      <c r="DZ124" s="141"/>
      <c r="EA124" s="141"/>
      <c r="EB124" s="141"/>
      <c r="EC124" s="141"/>
      <c r="ED124" s="140">
        <f t="shared" si="23"/>
        <v>0</v>
      </c>
      <c r="EE124" s="141"/>
      <c r="EF124" s="141"/>
      <c r="EG124" s="141"/>
      <c r="EH124" s="141"/>
      <c r="EI124" s="141"/>
      <c r="EJ124" s="141"/>
      <c r="EK124" s="141"/>
      <c r="EL124" s="142" t="s">
        <v>559</v>
      </c>
      <c r="EM124" s="143"/>
      <c r="EN124" s="143"/>
      <c r="EO124" s="143"/>
      <c r="EP124" s="143"/>
      <c r="EQ124" s="143"/>
      <c r="IR124" s="43">
        <f t="shared" si="24"/>
        <v>0</v>
      </c>
      <c r="IS124" s="43">
        <f t="shared" si="25"/>
        <v>0</v>
      </c>
    </row>
    <row r="125" spans="1:253" ht="12.75">
      <c r="A125" s="142" t="s">
        <v>105</v>
      </c>
      <c r="B125" s="143"/>
      <c r="C125" s="142" t="s">
        <v>199</v>
      </c>
      <c r="D125" s="143"/>
      <c r="E125" s="143"/>
      <c r="F125" s="142" t="s">
        <v>214</v>
      </c>
      <c r="G125" s="143"/>
      <c r="H125" s="143"/>
      <c r="I125" s="143"/>
      <c r="J125" s="143"/>
      <c r="K125" s="143"/>
      <c r="L125" s="142" t="s">
        <v>362</v>
      </c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2" t="s">
        <v>530</v>
      </c>
      <c r="AT125" s="143"/>
      <c r="AU125" s="142" t="s">
        <v>617</v>
      </c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0">
        <f>'Výkaz výměr'!F129</f>
        <v>630</v>
      </c>
      <c r="CL125" s="141"/>
      <c r="CM125" s="141"/>
      <c r="CN125" s="141"/>
      <c r="CO125" s="141"/>
      <c r="CP125" s="140">
        <f>'Výkaz výměr'!G129</f>
        <v>0</v>
      </c>
      <c r="CQ125" s="141"/>
      <c r="CR125" s="141"/>
      <c r="CS125" s="141"/>
      <c r="CT125" s="141"/>
      <c r="CU125" s="141"/>
      <c r="CV125" s="141"/>
      <c r="CW125" s="141"/>
      <c r="CX125" s="140">
        <f t="shared" si="20"/>
        <v>0</v>
      </c>
      <c r="CY125" s="141"/>
      <c r="CZ125" s="141"/>
      <c r="DA125" s="141"/>
      <c r="DB125" s="141"/>
      <c r="DC125" s="141"/>
      <c r="DD125" s="141"/>
      <c r="DE125" s="141"/>
      <c r="DF125" s="140">
        <f t="shared" si="21"/>
        <v>0</v>
      </c>
      <c r="DG125" s="141"/>
      <c r="DH125" s="141"/>
      <c r="DI125" s="141"/>
      <c r="DJ125" s="141"/>
      <c r="DK125" s="141"/>
      <c r="DL125" s="141"/>
      <c r="DM125" s="141"/>
      <c r="DN125" s="140">
        <f t="shared" si="22"/>
        <v>0</v>
      </c>
      <c r="DO125" s="141"/>
      <c r="DP125" s="141"/>
      <c r="DQ125" s="141"/>
      <c r="DR125" s="141"/>
      <c r="DS125" s="141"/>
      <c r="DT125" s="141"/>
      <c r="DU125" s="141"/>
      <c r="DV125" s="140">
        <f>'Výkaz výměr'!L129</f>
        <v>0</v>
      </c>
      <c r="DW125" s="141"/>
      <c r="DX125" s="141"/>
      <c r="DY125" s="141"/>
      <c r="DZ125" s="141"/>
      <c r="EA125" s="141"/>
      <c r="EB125" s="141"/>
      <c r="EC125" s="141"/>
      <c r="ED125" s="140">
        <f t="shared" si="23"/>
        <v>0</v>
      </c>
      <c r="EE125" s="141"/>
      <c r="EF125" s="141"/>
      <c r="EG125" s="141"/>
      <c r="EH125" s="141"/>
      <c r="EI125" s="141"/>
      <c r="EJ125" s="141"/>
      <c r="EK125" s="141"/>
      <c r="EL125" s="142" t="s">
        <v>559</v>
      </c>
      <c r="EM125" s="143"/>
      <c r="EN125" s="143"/>
      <c r="EO125" s="143"/>
      <c r="EP125" s="143"/>
      <c r="EQ125" s="143"/>
      <c r="IR125" s="43">
        <f t="shared" si="24"/>
        <v>0</v>
      </c>
      <c r="IS125" s="43">
        <f t="shared" si="25"/>
        <v>0</v>
      </c>
    </row>
    <row r="126" spans="1:253" ht="12.75">
      <c r="A126" s="142" t="s">
        <v>106</v>
      </c>
      <c r="B126" s="143"/>
      <c r="C126" s="142" t="s">
        <v>199</v>
      </c>
      <c r="D126" s="143"/>
      <c r="E126" s="143"/>
      <c r="F126" s="142" t="s">
        <v>215</v>
      </c>
      <c r="G126" s="143"/>
      <c r="H126" s="143"/>
      <c r="I126" s="143"/>
      <c r="J126" s="143"/>
      <c r="K126" s="143"/>
      <c r="L126" s="142" t="s">
        <v>363</v>
      </c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2" t="s">
        <v>530</v>
      </c>
      <c r="AT126" s="143"/>
      <c r="AU126" s="142" t="s">
        <v>670</v>
      </c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0">
        <f>'Výkaz výměr'!F130</f>
        <v>509.74</v>
      </c>
      <c r="CL126" s="141"/>
      <c r="CM126" s="141"/>
      <c r="CN126" s="141"/>
      <c r="CO126" s="141"/>
      <c r="CP126" s="140">
        <f>'Výkaz výměr'!G130</f>
        <v>0</v>
      </c>
      <c r="CQ126" s="141"/>
      <c r="CR126" s="141"/>
      <c r="CS126" s="141"/>
      <c r="CT126" s="141"/>
      <c r="CU126" s="141"/>
      <c r="CV126" s="141"/>
      <c r="CW126" s="141"/>
      <c r="CX126" s="140">
        <f t="shared" si="20"/>
        <v>0</v>
      </c>
      <c r="CY126" s="141"/>
      <c r="CZ126" s="141"/>
      <c r="DA126" s="141"/>
      <c r="DB126" s="141"/>
      <c r="DC126" s="141"/>
      <c r="DD126" s="141"/>
      <c r="DE126" s="141"/>
      <c r="DF126" s="140">
        <f t="shared" si="21"/>
        <v>0</v>
      </c>
      <c r="DG126" s="141"/>
      <c r="DH126" s="141"/>
      <c r="DI126" s="141"/>
      <c r="DJ126" s="141"/>
      <c r="DK126" s="141"/>
      <c r="DL126" s="141"/>
      <c r="DM126" s="141"/>
      <c r="DN126" s="140">
        <f t="shared" si="22"/>
        <v>0</v>
      </c>
      <c r="DO126" s="141"/>
      <c r="DP126" s="141"/>
      <c r="DQ126" s="141"/>
      <c r="DR126" s="141"/>
      <c r="DS126" s="141"/>
      <c r="DT126" s="141"/>
      <c r="DU126" s="141"/>
      <c r="DV126" s="140">
        <f>'Výkaz výměr'!L130</f>
        <v>0</v>
      </c>
      <c r="DW126" s="141"/>
      <c r="DX126" s="141"/>
      <c r="DY126" s="141"/>
      <c r="DZ126" s="141"/>
      <c r="EA126" s="141"/>
      <c r="EB126" s="141"/>
      <c r="EC126" s="141"/>
      <c r="ED126" s="140">
        <f t="shared" si="23"/>
        <v>0</v>
      </c>
      <c r="EE126" s="141"/>
      <c r="EF126" s="141"/>
      <c r="EG126" s="141"/>
      <c r="EH126" s="141"/>
      <c r="EI126" s="141"/>
      <c r="EJ126" s="141"/>
      <c r="EK126" s="141"/>
      <c r="EL126" s="142" t="s">
        <v>559</v>
      </c>
      <c r="EM126" s="143"/>
      <c r="EN126" s="143"/>
      <c r="EO126" s="143"/>
      <c r="EP126" s="143"/>
      <c r="EQ126" s="143"/>
      <c r="IR126" s="43">
        <f t="shared" si="24"/>
        <v>0</v>
      </c>
      <c r="IS126" s="43">
        <f t="shared" si="25"/>
        <v>0</v>
      </c>
    </row>
    <row r="127" spans="1:253" ht="12.75">
      <c r="A127" s="142" t="s">
        <v>107</v>
      </c>
      <c r="B127" s="143"/>
      <c r="C127" s="142" t="s">
        <v>199</v>
      </c>
      <c r="D127" s="143"/>
      <c r="E127" s="143"/>
      <c r="F127" s="142" t="s">
        <v>216</v>
      </c>
      <c r="G127" s="143"/>
      <c r="H127" s="143"/>
      <c r="I127" s="143"/>
      <c r="J127" s="143"/>
      <c r="K127" s="143"/>
      <c r="L127" s="142" t="s">
        <v>364</v>
      </c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2" t="s">
        <v>530</v>
      </c>
      <c r="AT127" s="143"/>
      <c r="AU127" s="142" t="s">
        <v>671</v>
      </c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0">
        <f>'Výkaz výměr'!F131</f>
        <v>72.82</v>
      </c>
      <c r="CL127" s="141"/>
      <c r="CM127" s="141"/>
      <c r="CN127" s="141"/>
      <c r="CO127" s="141"/>
      <c r="CP127" s="140">
        <f>'Výkaz výměr'!G131</f>
        <v>0</v>
      </c>
      <c r="CQ127" s="141"/>
      <c r="CR127" s="141"/>
      <c r="CS127" s="141"/>
      <c r="CT127" s="141"/>
      <c r="CU127" s="141"/>
      <c r="CV127" s="141"/>
      <c r="CW127" s="141"/>
      <c r="CX127" s="140">
        <f t="shared" si="20"/>
        <v>0</v>
      </c>
      <c r="CY127" s="141"/>
      <c r="CZ127" s="141"/>
      <c r="DA127" s="141"/>
      <c r="DB127" s="141"/>
      <c r="DC127" s="141"/>
      <c r="DD127" s="141"/>
      <c r="DE127" s="141"/>
      <c r="DF127" s="140">
        <f t="shared" si="21"/>
        <v>0</v>
      </c>
      <c r="DG127" s="141"/>
      <c r="DH127" s="141"/>
      <c r="DI127" s="141"/>
      <c r="DJ127" s="141"/>
      <c r="DK127" s="141"/>
      <c r="DL127" s="141"/>
      <c r="DM127" s="141"/>
      <c r="DN127" s="140">
        <f t="shared" si="22"/>
        <v>0</v>
      </c>
      <c r="DO127" s="141"/>
      <c r="DP127" s="141"/>
      <c r="DQ127" s="141"/>
      <c r="DR127" s="141"/>
      <c r="DS127" s="141"/>
      <c r="DT127" s="141"/>
      <c r="DU127" s="141"/>
      <c r="DV127" s="140">
        <f>'Výkaz výměr'!L131</f>
        <v>0</v>
      </c>
      <c r="DW127" s="141"/>
      <c r="DX127" s="141"/>
      <c r="DY127" s="141"/>
      <c r="DZ127" s="141"/>
      <c r="EA127" s="141"/>
      <c r="EB127" s="141"/>
      <c r="EC127" s="141"/>
      <c r="ED127" s="140">
        <f t="shared" si="23"/>
        <v>0</v>
      </c>
      <c r="EE127" s="141"/>
      <c r="EF127" s="141"/>
      <c r="EG127" s="141"/>
      <c r="EH127" s="141"/>
      <c r="EI127" s="141"/>
      <c r="EJ127" s="141"/>
      <c r="EK127" s="141"/>
      <c r="EL127" s="142" t="s">
        <v>559</v>
      </c>
      <c r="EM127" s="143"/>
      <c r="EN127" s="143"/>
      <c r="EO127" s="143"/>
      <c r="EP127" s="143"/>
      <c r="EQ127" s="143"/>
      <c r="IR127" s="43">
        <f t="shared" si="24"/>
        <v>0</v>
      </c>
      <c r="IS127" s="43">
        <f t="shared" si="25"/>
        <v>0</v>
      </c>
    </row>
    <row r="128" spans="1:253" ht="12.75">
      <c r="A128" s="142" t="s">
        <v>108</v>
      </c>
      <c r="B128" s="143"/>
      <c r="C128" s="142" t="s">
        <v>199</v>
      </c>
      <c r="D128" s="143"/>
      <c r="E128" s="143"/>
      <c r="F128" s="142" t="s">
        <v>217</v>
      </c>
      <c r="G128" s="143"/>
      <c r="H128" s="143"/>
      <c r="I128" s="143"/>
      <c r="J128" s="143"/>
      <c r="K128" s="143"/>
      <c r="L128" s="142" t="s">
        <v>365</v>
      </c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2" t="s">
        <v>530</v>
      </c>
      <c r="AT128" s="143"/>
      <c r="AU128" s="142" t="s">
        <v>671</v>
      </c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0">
        <f>'Výkaz výměr'!F132</f>
        <v>72.82</v>
      </c>
      <c r="CL128" s="141"/>
      <c r="CM128" s="141"/>
      <c r="CN128" s="141"/>
      <c r="CO128" s="141"/>
      <c r="CP128" s="140">
        <f>'Výkaz výměr'!G132</f>
        <v>0</v>
      </c>
      <c r="CQ128" s="141"/>
      <c r="CR128" s="141"/>
      <c r="CS128" s="141"/>
      <c r="CT128" s="141"/>
      <c r="CU128" s="141"/>
      <c r="CV128" s="141"/>
      <c r="CW128" s="141"/>
      <c r="CX128" s="140">
        <f t="shared" si="20"/>
        <v>0</v>
      </c>
      <c r="CY128" s="141"/>
      <c r="CZ128" s="141"/>
      <c r="DA128" s="141"/>
      <c r="DB128" s="141"/>
      <c r="DC128" s="141"/>
      <c r="DD128" s="141"/>
      <c r="DE128" s="141"/>
      <c r="DF128" s="140">
        <f t="shared" si="21"/>
        <v>0</v>
      </c>
      <c r="DG128" s="141"/>
      <c r="DH128" s="141"/>
      <c r="DI128" s="141"/>
      <c r="DJ128" s="141"/>
      <c r="DK128" s="141"/>
      <c r="DL128" s="141"/>
      <c r="DM128" s="141"/>
      <c r="DN128" s="140">
        <f t="shared" si="22"/>
        <v>0</v>
      </c>
      <c r="DO128" s="141"/>
      <c r="DP128" s="141"/>
      <c r="DQ128" s="141"/>
      <c r="DR128" s="141"/>
      <c r="DS128" s="141"/>
      <c r="DT128" s="141"/>
      <c r="DU128" s="141"/>
      <c r="DV128" s="140">
        <f>'Výkaz výměr'!L132</f>
        <v>0.00816</v>
      </c>
      <c r="DW128" s="141"/>
      <c r="DX128" s="141"/>
      <c r="DY128" s="141"/>
      <c r="DZ128" s="141"/>
      <c r="EA128" s="141"/>
      <c r="EB128" s="141"/>
      <c r="EC128" s="141"/>
      <c r="ED128" s="140">
        <f t="shared" si="23"/>
        <v>0.5942111999999999</v>
      </c>
      <c r="EE128" s="141"/>
      <c r="EF128" s="141"/>
      <c r="EG128" s="141"/>
      <c r="EH128" s="141"/>
      <c r="EI128" s="141"/>
      <c r="EJ128" s="141"/>
      <c r="EK128" s="141"/>
      <c r="EL128" s="142" t="s">
        <v>559</v>
      </c>
      <c r="EM128" s="143"/>
      <c r="EN128" s="143"/>
      <c r="EO128" s="143"/>
      <c r="EP128" s="143"/>
      <c r="EQ128" s="143"/>
      <c r="IR128" s="43">
        <f>CP128*0.12037037037037</f>
        <v>0</v>
      </c>
      <c r="IS128" s="43">
        <f>CP128*(1-0.12037037037037)</f>
        <v>0</v>
      </c>
    </row>
    <row r="129" spans="1:253" ht="12.75">
      <c r="A129" s="142" t="s">
        <v>109</v>
      </c>
      <c r="B129" s="143"/>
      <c r="C129" s="142" t="s">
        <v>199</v>
      </c>
      <c r="D129" s="143"/>
      <c r="E129" s="143"/>
      <c r="F129" s="142" t="s">
        <v>218</v>
      </c>
      <c r="G129" s="143"/>
      <c r="H129" s="143"/>
      <c r="I129" s="143"/>
      <c r="J129" s="143"/>
      <c r="K129" s="143"/>
      <c r="L129" s="142" t="s">
        <v>366</v>
      </c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2" t="s">
        <v>530</v>
      </c>
      <c r="AT129" s="143"/>
      <c r="AU129" s="142" t="s">
        <v>672</v>
      </c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0">
        <f>'Výkaz výměr'!F133</f>
        <v>36.41</v>
      </c>
      <c r="CL129" s="141"/>
      <c r="CM129" s="141"/>
      <c r="CN129" s="141"/>
      <c r="CO129" s="141"/>
      <c r="CP129" s="140">
        <f>'Výkaz výměr'!G133</f>
        <v>0</v>
      </c>
      <c r="CQ129" s="141"/>
      <c r="CR129" s="141"/>
      <c r="CS129" s="141"/>
      <c r="CT129" s="141"/>
      <c r="CU129" s="141"/>
      <c r="CV129" s="141"/>
      <c r="CW129" s="141"/>
      <c r="CX129" s="140">
        <f t="shared" si="20"/>
        <v>0</v>
      </c>
      <c r="CY129" s="141"/>
      <c r="CZ129" s="141"/>
      <c r="DA129" s="141"/>
      <c r="DB129" s="141"/>
      <c r="DC129" s="141"/>
      <c r="DD129" s="141"/>
      <c r="DE129" s="141"/>
      <c r="DF129" s="140">
        <f t="shared" si="21"/>
        <v>0</v>
      </c>
      <c r="DG129" s="141"/>
      <c r="DH129" s="141"/>
      <c r="DI129" s="141"/>
      <c r="DJ129" s="141"/>
      <c r="DK129" s="141"/>
      <c r="DL129" s="141"/>
      <c r="DM129" s="141"/>
      <c r="DN129" s="140">
        <f t="shared" si="22"/>
        <v>0</v>
      </c>
      <c r="DO129" s="141"/>
      <c r="DP129" s="141"/>
      <c r="DQ129" s="141"/>
      <c r="DR129" s="141"/>
      <c r="DS129" s="141"/>
      <c r="DT129" s="141"/>
      <c r="DU129" s="141"/>
      <c r="DV129" s="140">
        <f>'Výkaz výměr'!L133</f>
        <v>0.0154</v>
      </c>
      <c r="DW129" s="141"/>
      <c r="DX129" s="141"/>
      <c r="DY129" s="141"/>
      <c r="DZ129" s="141"/>
      <c r="EA129" s="141"/>
      <c r="EB129" s="141"/>
      <c r="EC129" s="141"/>
      <c r="ED129" s="140">
        <f t="shared" si="23"/>
        <v>0.5607139999999999</v>
      </c>
      <c r="EE129" s="141"/>
      <c r="EF129" s="141"/>
      <c r="EG129" s="141"/>
      <c r="EH129" s="141"/>
      <c r="EI129" s="141"/>
      <c r="EJ129" s="141"/>
      <c r="EK129" s="141"/>
      <c r="EL129" s="142" t="s">
        <v>559</v>
      </c>
      <c r="EM129" s="143"/>
      <c r="EN129" s="143"/>
      <c r="EO129" s="143"/>
      <c r="EP129" s="143"/>
      <c r="EQ129" s="143"/>
      <c r="IR129" s="43">
        <f>CP129*0.137882534775889</f>
        <v>0</v>
      </c>
      <c r="IS129" s="43">
        <f>CP129*(1-0.137882534775889)</f>
        <v>0</v>
      </c>
    </row>
    <row r="130" spans="1:253" ht="12.75">
      <c r="A130" s="142" t="s">
        <v>110</v>
      </c>
      <c r="B130" s="143"/>
      <c r="C130" s="142" t="s">
        <v>199</v>
      </c>
      <c r="D130" s="143"/>
      <c r="E130" s="143"/>
      <c r="F130" s="142" t="s">
        <v>219</v>
      </c>
      <c r="G130" s="143"/>
      <c r="H130" s="143"/>
      <c r="I130" s="143"/>
      <c r="J130" s="143"/>
      <c r="K130" s="143"/>
      <c r="L130" s="142" t="s">
        <v>367</v>
      </c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2" t="s">
        <v>530</v>
      </c>
      <c r="AT130" s="143"/>
      <c r="AU130" s="142" t="s">
        <v>672</v>
      </c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0">
        <f>'Výkaz výměr'!F134</f>
        <v>36.41</v>
      </c>
      <c r="CL130" s="141"/>
      <c r="CM130" s="141"/>
      <c r="CN130" s="141"/>
      <c r="CO130" s="141"/>
      <c r="CP130" s="140">
        <f>'Výkaz výměr'!G134</f>
        <v>0</v>
      </c>
      <c r="CQ130" s="141"/>
      <c r="CR130" s="141"/>
      <c r="CS130" s="141"/>
      <c r="CT130" s="141"/>
      <c r="CU130" s="141"/>
      <c r="CV130" s="141"/>
      <c r="CW130" s="141"/>
      <c r="CX130" s="140">
        <f t="shared" si="20"/>
        <v>0</v>
      </c>
      <c r="CY130" s="141"/>
      <c r="CZ130" s="141"/>
      <c r="DA130" s="141"/>
      <c r="DB130" s="141"/>
      <c r="DC130" s="141"/>
      <c r="DD130" s="141"/>
      <c r="DE130" s="141"/>
      <c r="DF130" s="140">
        <f t="shared" si="21"/>
        <v>0</v>
      </c>
      <c r="DG130" s="141"/>
      <c r="DH130" s="141"/>
      <c r="DI130" s="141"/>
      <c r="DJ130" s="141"/>
      <c r="DK130" s="141"/>
      <c r="DL130" s="141"/>
      <c r="DM130" s="141"/>
      <c r="DN130" s="140">
        <f t="shared" si="22"/>
        <v>0</v>
      </c>
      <c r="DO130" s="141"/>
      <c r="DP130" s="141"/>
      <c r="DQ130" s="141"/>
      <c r="DR130" s="141"/>
      <c r="DS130" s="141"/>
      <c r="DT130" s="141"/>
      <c r="DU130" s="141"/>
      <c r="DV130" s="140">
        <f>'Výkaz výměr'!L134</f>
        <v>0.01733</v>
      </c>
      <c r="DW130" s="141"/>
      <c r="DX130" s="141"/>
      <c r="DY130" s="141"/>
      <c r="DZ130" s="141"/>
      <c r="EA130" s="141"/>
      <c r="EB130" s="141"/>
      <c r="EC130" s="141"/>
      <c r="ED130" s="140">
        <f t="shared" si="23"/>
        <v>0.6309853</v>
      </c>
      <c r="EE130" s="141"/>
      <c r="EF130" s="141"/>
      <c r="EG130" s="141"/>
      <c r="EH130" s="141"/>
      <c r="EI130" s="141"/>
      <c r="EJ130" s="141"/>
      <c r="EK130" s="141"/>
      <c r="EL130" s="142" t="s">
        <v>559</v>
      </c>
      <c r="EM130" s="143"/>
      <c r="EN130" s="143"/>
      <c r="EO130" s="143"/>
      <c r="EP130" s="143"/>
      <c r="EQ130" s="143"/>
      <c r="IR130" s="43">
        <f>CP130*0.111837899543379</f>
        <v>0</v>
      </c>
      <c r="IS130" s="43">
        <f>CP130*(1-0.111837899543379)</f>
        <v>0</v>
      </c>
    </row>
    <row r="131" spans="1:253" ht="12.75">
      <c r="A131" s="142" t="s">
        <v>111</v>
      </c>
      <c r="B131" s="143"/>
      <c r="C131" s="142" t="s">
        <v>199</v>
      </c>
      <c r="D131" s="143"/>
      <c r="E131" s="143"/>
      <c r="F131" s="142" t="s">
        <v>220</v>
      </c>
      <c r="G131" s="143"/>
      <c r="H131" s="143"/>
      <c r="I131" s="143"/>
      <c r="J131" s="143"/>
      <c r="K131" s="143"/>
      <c r="L131" s="142" t="s">
        <v>368</v>
      </c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2" t="s">
        <v>530</v>
      </c>
      <c r="AT131" s="143"/>
      <c r="AU131" s="142" t="s">
        <v>670</v>
      </c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0">
        <f>'Výkaz výměr'!F135</f>
        <v>509.74</v>
      </c>
      <c r="CL131" s="141"/>
      <c r="CM131" s="141"/>
      <c r="CN131" s="141"/>
      <c r="CO131" s="141"/>
      <c r="CP131" s="140">
        <f>'Výkaz výměr'!G135</f>
        <v>0</v>
      </c>
      <c r="CQ131" s="141"/>
      <c r="CR131" s="141"/>
      <c r="CS131" s="141"/>
      <c r="CT131" s="141"/>
      <c r="CU131" s="141"/>
      <c r="CV131" s="141"/>
      <c r="CW131" s="141"/>
      <c r="CX131" s="140">
        <f t="shared" si="20"/>
        <v>0</v>
      </c>
      <c r="CY131" s="141"/>
      <c r="CZ131" s="141"/>
      <c r="DA131" s="141"/>
      <c r="DB131" s="141"/>
      <c r="DC131" s="141"/>
      <c r="DD131" s="141"/>
      <c r="DE131" s="141"/>
      <c r="DF131" s="140">
        <f t="shared" si="21"/>
        <v>0</v>
      </c>
      <c r="DG131" s="141"/>
      <c r="DH131" s="141"/>
      <c r="DI131" s="141"/>
      <c r="DJ131" s="141"/>
      <c r="DK131" s="141"/>
      <c r="DL131" s="141"/>
      <c r="DM131" s="141"/>
      <c r="DN131" s="140">
        <f t="shared" si="22"/>
        <v>0</v>
      </c>
      <c r="DO131" s="141"/>
      <c r="DP131" s="141"/>
      <c r="DQ131" s="141"/>
      <c r="DR131" s="141"/>
      <c r="DS131" s="141"/>
      <c r="DT131" s="141"/>
      <c r="DU131" s="141"/>
      <c r="DV131" s="140">
        <f>'Výkaz výměr'!L135</f>
        <v>0</v>
      </c>
      <c r="DW131" s="141"/>
      <c r="DX131" s="141"/>
      <c r="DY131" s="141"/>
      <c r="DZ131" s="141"/>
      <c r="EA131" s="141"/>
      <c r="EB131" s="141"/>
      <c r="EC131" s="141"/>
      <c r="ED131" s="140">
        <f t="shared" si="23"/>
        <v>0</v>
      </c>
      <c r="EE131" s="141"/>
      <c r="EF131" s="141"/>
      <c r="EG131" s="141"/>
      <c r="EH131" s="141"/>
      <c r="EI131" s="141"/>
      <c r="EJ131" s="141"/>
      <c r="EK131" s="141"/>
      <c r="EL131" s="142" t="s">
        <v>559</v>
      </c>
      <c r="EM131" s="143"/>
      <c r="EN131" s="143"/>
      <c r="EO131" s="143"/>
      <c r="EP131" s="143"/>
      <c r="EQ131" s="143"/>
      <c r="IR131" s="43">
        <f aca="true" t="shared" si="26" ref="IR131:IR141">CP131*0</f>
        <v>0</v>
      </c>
      <c r="IS131" s="43">
        <f aca="true" t="shared" si="27" ref="IS131:IS141">CP131*(1-0)</f>
        <v>0</v>
      </c>
    </row>
    <row r="132" spans="1:253" ht="12.75">
      <c r="A132" s="142" t="s">
        <v>112</v>
      </c>
      <c r="B132" s="143"/>
      <c r="C132" s="142" t="s">
        <v>199</v>
      </c>
      <c r="D132" s="143"/>
      <c r="E132" s="143"/>
      <c r="F132" s="142" t="s">
        <v>221</v>
      </c>
      <c r="G132" s="143"/>
      <c r="H132" s="143"/>
      <c r="I132" s="143"/>
      <c r="J132" s="143"/>
      <c r="K132" s="143"/>
      <c r="L132" s="142" t="s">
        <v>369</v>
      </c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2" t="s">
        <v>530</v>
      </c>
      <c r="AT132" s="143"/>
      <c r="AU132" s="142" t="s">
        <v>671</v>
      </c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0">
        <f>'Výkaz výměr'!F136</f>
        <v>72.82</v>
      </c>
      <c r="CL132" s="141"/>
      <c r="CM132" s="141"/>
      <c r="CN132" s="141"/>
      <c r="CO132" s="141"/>
      <c r="CP132" s="140">
        <f>'Výkaz výměr'!G136</f>
        <v>0</v>
      </c>
      <c r="CQ132" s="141"/>
      <c r="CR132" s="141"/>
      <c r="CS132" s="141"/>
      <c r="CT132" s="141"/>
      <c r="CU132" s="141"/>
      <c r="CV132" s="141"/>
      <c r="CW132" s="141"/>
      <c r="CX132" s="140">
        <f t="shared" si="20"/>
        <v>0</v>
      </c>
      <c r="CY132" s="141"/>
      <c r="CZ132" s="141"/>
      <c r="DA132" s="141"/>
      <c r="DB132" s="141"/>
      <c r="DC132" s="141"/>
      <c r="DD132" s="141"/>
      <c r="DE132" s="141"/>
      <c r="DF132" s="140">
        <f t="shared" si="21"/>
        <v>0</v>
      </c>
      <c r="DG132" s="141"/>
      <c r="DH132" s="141"/>
      <c r="DI132" s="141"/>
      <c r="DJ132" s="141"/>
      <c r="DK132" s="141"/>
      <c r="DL132" s="141"/>
      <c r="DM132" s="141"/>
      <c r="DN132" s="140">
        <f t="shared" si="22"/>
        <v>0</v>
      </c>
      <c r="DO132" s="141"/>
      <c r="DP132" s="141"/>
      <c r="DQ132" s="141"/>
      <c r="DR132" s="141"/>
      <c r="DS132" s="141"/>
      <c r="DT132" s="141"/>
      <c r="DU132" s="141"/>
      <c r="DV132" s="140">
        <f>'Výkaz výměr'!L136</f>
        <v>0</v>
      </c>
      <c r="DW132" s="141"/>
      <c r="DX132" s="141"/>
      <c r="DY132" s="141"/>
      <c r="DZ132" s="141"/>
      <c r="EA132" s="141"/>
      <c r="EB132" s="141"/>
      <c r="EC132" s="141"/>
      <c r="ED132" s="140">
        <f t="shared" si="23"/>
        <v>0</v>
      </c>
      <c r="EE132" s="141"/>
      <c r="EF132" s="141"/>
      <c r="EG132" s="141"/>
      <c r="EH132" s="141"/>
      <c r="EI132" s="141"/>
      <c r="EJ132" s="141"/>
      <c r="EK132" s="141"/>
      <c r="EL132" s="142" t="s">
        <v>559</v>
      </c>
      <c r="EM132" s="143"/>
      <c r="EN132" s="143"/>
      <c r="EO132" s="143"/>
      <c r="EP132" s="143"/>
      <c r="EQ132" s="143"/>
      <c r="IR132" s="43">
        <f t="shared" si="26"/>
        <v>0</v>
      </c>
      <c r="IS132" s="43">
        <f t="shared" si="27"/>
        <v>0</v>
      </c>
    </row>
    <row r="133" spans="1:253" ht="12.75">
      <c r="A133" s="142" t="s">
        <v>113</v>
      </c>
      <c r="B133" s="143"/>
      <c r="C133" s="142" t="s">
        <v>199</v>
      </c>
      <c r="D133" s="143"/>
      <c r="E133" s="143"/>
      <c r="F133" s="142" t="s">
        <v>222</v>
      </c>
      <c r="G133" s="143"/>
      <c r="H133" s="143"/>
      <c r="I133" s="143"/>
      <c r="J133" s="143"/>
      <c r="K133" s="143"/>
      <c r="L133" s="142" t="s">
        <v>371</v>
      </c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2" t="s">
        <v>530</v>
      </c>
      <c r="AT133" s="143"/>
      <c r="AU133" s="142" t="s">
        <v>673</v>
      </c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0">
        <f>'Výkaz výměr'!F137</f>
        <v>58.256</v>
      </c>
      <c r="CL133" s="141"/>
      <c r="CM133" s="141"/>
      <c r="CN133" s="141"/>
      <c r="CO133" s="141"/>
      <c r="CP133" s="140">
        <f>'Výkaz výměr'!G137</f>
        <v>0</v>
      </c>
      <c r="CQ133" s="141"/>
      <c r="CR133" s="141"/>
      <c r="CS133" s="141"/>
      <c r="CT133" s="141"/>
      <c r="CU133" s="141"/>
      <c r="CV133" s="141"/>
      <c r="CW133" s="141"/>
      <c r="CX133" s="140">
        <f t="shared" si="20"/>
        <v>0</v>
      </c>
      <c r="CY133" s="141"/>
      <c r="CZ133" s="141"/>
      <c r="DA133" s="141"/>
      <c r="DB133" s="141"/>
      <c r="DC133" s="141"/>
      <c r="DD133" s="141"/>
      <c r="DE133" s="141"/>
      <c r="DF133" s="140">
        <f t="shared" si="21"/>
        <v>0</v>
      </c>
      <c r="DG133" s="141"/>
      <c r="DH133" s="141"/>
      <c r="DI133" s="141"/>
      <c r="DJ133" s="141"/>
      <c r="DK133" s="141"/>
      <c r="DL133" s="141"/>
      <c r="DM133" s="141"/>
      <c r="DN133" s="140">
        <f t="shared" si="22"/>
        <v>0</v>
      </c>
      <c r="DO133" s="141"/>
      <c r="DP133" s="141"/>
      <c r="DQ133" s="141"/>
      <c r="DR133" s="141"/>
      <c r="DS133" s="141"/>
      <c r="DT133" s="141"/>
      <c r="DU133" s="141"/>
      <c r="DV133" s="140">
        <f>'Výkaz výměr'!L137</f>
        <v>0</v>
      </c>
      <c r="DW133" s="141"/>
      <c r="DX133" s="141"/>
      <c r="DY133" s="141"/>
      <c r="DZ133" s="141"/>
      <c r="EA133" s="141"/>
      <c r="EB133" s="141"/>
      <c r="EC133" s="141"/>
      <c r="ED133" s="140">
        <f t="shared" si="23"/>
        <v>0</v>
      </c>
      <c r="EE133" s="141"/>
      <c r="EF133" s="141"/>
      <c r="EG133" s="141"/>
      <c r="EH133" s="141"/>
      <c r="EI133" s="141"/>
      <c r="EJ133" s="141"/>
      <c r="EK133" s="141"/>
      <c r="EL133" s="142" t="s">
        <v>559</v>
      </c>
      <c r="EM133" s="143"/>
      <c r="EN133" s="143"/>
      <c r="EO133" s="143"/>
      <c r="EP133" s="143"/>
      <c r="EQ133" s="143"/>
      <c r="IR133" s="43">
        <f t="shared" si="26"/>
        <v>0</v>
      </c>
      <c r="IS133" s="43">
        <f t="shared" si="27"/>
        <v>0</v>
      </c>
    </row>
    <row r="134" spans="1:253" ht="12.75">
      <c r="A134" s="142" t="s">
        <v>114</v>
      </c>
      <c r="B134" s="143"/>
      <c r="C134" s="142" t="s">
        <v>199</v>
      </c>
      <c r="D134" s="143"/>
      <c r="E134" s="143"/>
      <c r="F134" s="142" t="s">
        <v>223</v>
      </c>
      <c r="G134" s="143"/>
      <c r="H134" s="143"/>
      <c r="I134" s="143"/>
      <c r="J134" s="143"/>
      <c r="K134" s="143"/>
      <c r="L134" s="142" t="s">
        <v>372</v>
      </c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2" t="s">
        <v>530</v>
      </c>
      <c r="AT134" s="143"/>
      <c r="AU134" s="142" t="s">
        <v>674</v>
      </c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0">
        <f>'Výkaz výměr'!F138</f>
        <v>18.15</v>
      </c>
      <c r="CL134" s="141"/>
      <c r="CM134" s="141"/>
      <c r="CN134" s="141"/>
      <c r="CO134" s="141"/>
      <c r="CP134" s="140">
        <f>'Výkaz výměr'!G138</f>
        <v>0</v>
      </c>
      <c r="CQ134" s="141"/>
      <c r="CR134" s="141"/>
      <c r="CS134" s="141"/>
      <c r="CT134" s="141"/>
      <c r="CU134" s="141"/>
      <c r="CV134" s="141"/>
      <c r="CW134" s="141"/>
      <c r="CX134" s="140">
        <f t="shared" si="20"/>
        <v>0</v>
      </c>
      <c r="CY134" s="141"/>
      <c r="CZ134" s="141"/>
      <c r="DA134" s="141"/>
      <c r="DB134" s="141"/>
      <c r="DC134" s="141"/>
      <c r="DD134" s="141"/>
      <c r="DE134" s="141"/>
      <c r="DF134" s="140">
        <f t="shared" si="21"/>
        <v>0</v>
      </c>
      <c r="DG134" s="141"/>
      <c r="DH134" s="141"/>
      <c r="DI134" s="141"/>
      <c r="DJ134" s="141"/>
      <c r="DK134" s="141"/>
      <c r="DL134" s="141"/>
      <c r="DM134" s="141"/>
      <c r="DN134" s="140">
        <f t="shared" si="22"/>
        <v>0</v>
      </c>
      <c r="DO134" s="141"/>
      <c r="DP134" s="141"/>
      <c r="DQ134" s="141"/>
      <c r="DR134" s="141"/>
      <c r="DS134" s="141"/>
      <c r="DT134" s="141"/>
      <c r="DU134" s="141"/>
      <c r="DV134" s="140">
        <f>'Výkaz výměr'!L138</f>
        <v>0</v>
      </c>
      <c r="DW134" s="141"/>
      <c r="DX134" s="141"/>
      <c r="DY134" s="141"/>
      <c r="DZ134" s="141"/>
      <c r="EA134" s="141"/>
      <c r="EB134" s="141"/>
      <c r="EC134" s="141"/>
      <c r="ED134" s="140">
        <f t="shared" si="23"/>
        <v>0</v>
      </c>
      <c r="EE134" s="141"/>
      <c r="EF134" s="141"/>
      <c r="EG134" s="141"/>
      <c r="EH134" s="141"/>
      <c r="EI134" s="141"/>
      <c r="EJ134" s="141"/>
      <c r="EK134" s="141"/>
      <c r="EL134" s="142" t="s">
        <v>559</v>
      </c>
      <c r="EM134" s="143"/>
      <c r="EN134" s="143"/>
      <c r="EO134" s="143"/>
      <c r="EP134" s="143"/>
      <c r="EQ134" s="143"/>
      <c r="IR134" s="43">
        <f t="shared" si="26"/>
        <v>0</v>
      </c>
      <c r="IS134" s="43">
        <f t="shared" si="27"/>
        <v>0</v>
      </c>
    </row>
    <row r="135" spans="1:253" ht="12.75">
      <c r="A135" s="142" t="s">
        <v>115</v>
      </c>
      <c r="B135" s="143"/>
      <c r="C135" s="142" t="s">
        <v>199</v>
      </c>
      <c r="D135" s="143"/>
      <c r="E135" s="143"/>
      <c r="F135" s="142" t="s">
        <v>228</v>
      </c>
      <c r="G135" s="143"/>
      <c r="H135" s="143"/>
      <c r="I135" s="143"/>
      <c r="J135" s="143"/>
      <c r="K135" s="143"/>
      <c r="L135" s="142" t="s">
        <v>380</v>
      </c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2" t="s">
        <v>530</v>
      </c>
      <c r="AT135" s="143"/>
      <c r="AU135" s="142" t="s">
        <v>675</v>
      </c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0">
        <f>'Výkaz výměr'!F140</f>
        <v>746.35</v>
      </c>
      <c r="CL135" s="141"/>
      <c r="CM135" s="141"/>
      <c r="CN135" s="141"/>
      <c r="CO135" s="141"/>
      <c r="CP135" s="140">
        <f>'Výkaz výměr'!G140</f>
        <v>0</v>
      </c>
      <c r="CQ135" s="141"/>
      <c r="CR135" s="141"/>
      <c r="CS135" s="141"/>
      <c r="CT135" s="141"/>
      <c r="CU135" s="141"/>
      <c r="CV135" s="141"/>
      <c r="CW135" s="141"/>
      <c r="CX135" s="140">
        <f t="shared" si="20"/>
        <v>0</v>
      </c>
      <c r="CY135" s="141"/>
      <c r="CZ135" s="141"/>
      <c r="DA135" s="141"/>
      <c r="DB135" s="141"/>
      <c r="DC135" s="141"/>
      <c r="DD135" s="141"/>
      <c r="DE135" s="141"/>
      <c r="DF135" s="140">
        <f t="shared" si="21"/>
        <v>0</v>
      </c>
      <c r="DG135" s="141"/>
      <c r="DH135" s="141"/>
      <c r="DI135" s="141"/>
      <c r="DJ135" s="141"/>
      <c r="DK135" s="141"/>
      <c r="DL135" s="141"/>
      <c r="DM135" s="141"/>
      <c r="DN135" s="140">
        <f t="shared" si="22"/>
        <v>0</v>
      </c>
      <c r="DO135" s="141"/>
      <c r="DP135" s="141"/>
      <c r="DQ135" s="141"/>
      <c r="DR135" s="141"/>
      <c r="DS135" s="141"/>
      <c r="DT135" s="141"/>
      <c r="DU135" s="141"/>
      <c r="DV135" s="140">
        <f>'Výkaz výměr'!L140</f>
        <v>0</v>
      </c>
      <c r="DW135" s="141"/>
      <c r="DX135" s="141"/>
      <c r="DY135" s="141"/>
      <c r="DZ135" s="141"/>
      <c r="EA135" s="141"/>
      <c r="EB135" s="141"/>
      <c r="EC135" s="141"/>
      <c r="ED135" s="140">
        <f t="shared" si="23"/>
        <v>0</v>
      </c>
      <c r="EE135" s="141"/>
      <c r="EF135" s="141"/>
      <c r="EG135" s="141"/>
      <c r="EH135" s="141"/>
      <c r="EI135" s="141"/>
      <c r="EJ135" s="141"/>
      <c r="EK135" s="141"/>
      <c r="EL135" s="142" t="s">
        <v>559</v>
      </c>
      <c r="EM135" s="143"/>
      <c r="EN135" s="143"/>
      <c r="EO135" s="143"/>
      <c r="EP135" s="143"/>
      <c r="EQ135" s="143"/>
      <c r="IR135" s="43">
        <f t="shared" si="26"/>
        <v>0</v>
      </c>
      <c r="IS135" s="43">
        <f t="shared" si="27"/>
        <v>0</v>
      </c>
    </row>
    <row r="136" spans="1:253" ht="12.75">
      <c r="A136" s="142" t="s">
        <v>116</v>
      </c>
      <c r="B136" s="143"/>
      <c r="C136" s="142" t="s">
        <v>199</v>
      </c>
      <c r="D136" s="143"/>
      <c r="E136" s="143"/>
      <c r="F136" s="142" t="s">
        <v>224</v>
      </c>
      <c r="G136" s="143"/>
      <c r="H136" s="143"/>
      <c r="I136" s="143"/>
      <c r="J136" s="143"/>
      <c r="K136" s="143"/>
      <c r="L136" s="142" t="s">
        <v>374</v>
      </c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2" t="s">
        <v>530</v>
      </c>
      <c r="AT136" s="143"/>
      <c r="AU136" s="142" t="s">
        <v>676</v>
      </c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0">
        <f>'Výkaz výměr'!F141</f>
        <v>600.71</v>
      </c>
      <c r="CL136" s="141"/>
      <c r="CM136" s="141"/>
      <c r="CN136" s="141"/>
      <c r="CO136" s="141"/>
      <c r="CP136" s="140">
        <f>'Výkaz výměr'!G141</f>
        <v>0</v>
      </c>
      <c r="CQ136" s="141"/>
      <c r="CR136" s="141"/>
      <c r="CS136" s="141"/>
      <c r="CT136" s="141"/>
      <c r="CU136" s="141"/>
      <c r="CV136" s="141"/>
      <c r="CW136" s="141"/>
      <c r="CX136" s="140">
        <f t="shared" si="20"/>
        <v>0</v>
      </c>
      <c r="CY136" s="141"/>
      <c r="CZ136" s="141"/>
      <c r="DA136" s="141"/>
      <c r="DB136" s="141"/>
      <c r="DC136" s="141"/>
      <c r="DD136" s="141"/>
      <c r="DE136" s="141"/>
      <c r="DF136" s="140">
        <f t="shared" si="21"/>
        <v>0</v>
      </c>
      <c r="DG136" s="141"/>
      <c r="DH136" s="141"/>
      <c r="DI136" s="141"/>
      <c r="DJ136" s="141"/>
      <c r="DK136" s="141"/>
      <c r="DL136" s="141"/>
      <c r="DM136" s="141"/>
      <c r="DN136" s="140">
        <f t="shared" si="22"/>
        <v>0</v>
      </c>
      <c r="DO136" s="141"/>
      <c r="DP136" s="141"/>
      <c r="DQ136" s="141"/>
      <c r="DR136" s="141"/>
      <c r="DS136" s="141"/>
      <c r="DT136" s="141"/>
      <c r="DU136" s="141"/>
      <c r="DV136" s="140">
        <f>'Výkaz výměr'!L141</f>
        <v>0</v>
      </c>
      <c r="DW136" s="141"/>
      <c r="DX136" s="141"/>
      <c r="DY136" s="141"/>
      <c r="DZ136" s="141"/>
      <c r="EA136" s="141"/>
      <c r="EB136" s="141"/>
      <c r="EC136" s="141"/>
      <c r="ED136" s="140">
        <f t="shared" si="23"/>
        <v>0</v>
      </c>
      <c r="EE136" s="141"/>
      <c r="EF136" s="141"/>
      <c r="EG136" s="141"/>
      <c r="EH136" s="141"/>
      <c r="EI136" s="141"/>
      <c r="EJ136" s="141"/>
      <c r="EK136" s="141"/>
      <c r="EL136" s="142" t="s">
        <v>559</v>
      </c>
      <c r="EM136" s="143"/>
      <c r="EN136" s="143"/>
      <c r="EO136" s="143"/>
      <c r="EP136" s="143"/>
      <c r="EQ136" s="143"/>
      <c r="IR136" s="43">
        <f t="shared" si="26"/>
        <v>0</v>
      </c>
      <c r="IS136" s="43">
        <f t="shared" si="27"/>
        <v>0</v>
      </c>
    </row>
    <row r="137" spans="1:253" ht="12.75">
      <c r="A137" s="142" t="s">
        <v>117</v>
      </c>
      <c r="B137" s="143"/>
      <c r="C137" s="142" t="s">
        <v>199</v>
      </c>
      <c r="D137" s="143"/>
      <c r="E137" s="143"/>
      <c r="F137" s="142" t="s">
        <v>225</v>
      </c>
      <c r="G137" s="143"/>
      <c r="H137" s="143"/>
      <c r="I137" s="143"/>
      <c r="J137" s="143"/>
      <c r="K137" s="143"/>
      <c r="L137" s="142" t="s">
        <v>376</v>
      </c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2" t="s">
        <v>530</v>
      </c>
      <c r="AT137" s="143"/>
      <c r="AU137" s="142" t="s">
        <v>677</v>
      </c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0">
        <f>'Výkaz výměr'!F143</f>
        <v>2912.8</v>
      </c>
      <c r="CL137" s="141"/>
      <c r="CM137" s="141"/>
      <c r="CN137" s="141"/>
      <c r="CO137" s="141"/>
      <c r="CP137" s="140">
        <f>'Výkaz výměr'!G143</f>
        <v>0</v>
      </c>
      <c r="CQ137" s="141"/>
      <c r="CR137" s="141"/>
      <c r="CS137" s="141"/>
      <c r="CT137" s="141"/>
      <c r="CU137" s="141"/>
      <c r="CV137" s="141"/>
      <c r="CW137" s="141"/>
      <c r="CX137" s="140">
        <f t="shared" si="20"/>
        <v>0</v>
      </c>
      <c r="CY137" s="141"/>
      <c r="CZ137" s="141"/>
      <c r="DA137" s="141"/>
      <c r="DB137" s="141"/>
      <c r="DC137" s="141"/>
      <c r="DD137" s="141"/>
      <c r="DE137" s="141"/>
      <c r="DF137" s="140">
        <f t="shared" si="21"/>
        <v>0</v>
      </c>
      <c r="DG137" s="141"/>
      <c r="DH137" s="141"/>
      <c r="DI137" s="141"/>
      <c r="DJ137" s="141"/>
      <c r="DK137" s="141"/>
      <c r="DL137" s="141"/>
      <c r="DM137" s="141"/>
      <c r="DN137" s="140">
        <f t="shared" si="22"/>
        <v>0</v>
      </c>
      <c r="DO137" s="141"/>
      <c r="DP137" s="141"/>
      <c r="DQ137" s="141"/>
      <c r="DR137" s="141"/>
      <c r="DS137" s="141"/>
      <c r="DT137" s="141"/>
      <c r="DU137" s="141"/>
      <c r="DV137" s="140">
        <f>'Výkaz výměr'!L143</f>
        <v>0</v>
      </c>
      <c r="DW137" s="141"/>
      <c r="DX137" s="141"/>
      <c r="DY137" s="141"/>
      <c r="DZ137" s="141"/>
      <c r="EA137" s="141"/>
      <c r="EB137" s="141"/>
      <c r="EC137" s="141"/>
      <c r="ED137" s="140">
        <f t="shared" si="23"/>
        <v>0</v>
      </c>
      <c r="EE137" s="141"/>
      <c r="EF137" s="141"/>
      <c r="EG137" s="141"/>
      <c r="EH137" s="141"/>
      <c r="EI137" s="141"/>
      <c r="EJ137" s="141"/>
      <c r="EK137" s="141"/>
      <c r="EL137" s="142" t="s">
        <v>559</v>
      </c>
      <c r="EM137" s="143"/>
      <c r="EN137" s="143"/>
      <c r="EO137" s="143"/>
      <c r="EP137" s="143"/>
      <c r="EQ137" s="143"/>
      <c r="IR137" s="43">
        <f t="shared" si="26"/>
        <v>0</v>
      </c>
      <c r="IS137" s="43">
        <f t="shared" si="27"/>
        <v>0</v>
      </c>
    </row>
    <row r="138" spans="1:253" ht="12.75">
      <c r="A138" s="142" t="s">
        <v>118</v>
      </c>
      <c r="B138" s="143"/>
      <c r="C138" s="142" t="s">
        <v>199</v>
      </c>
      <c r="D138" s="143"/>
      <c r="E138" s="143"/>
      <c r="F138" s="142" t="s">
        <v>226</v>
      </c>
      <c r="G138" s="143"/>
      <c r="H138" s="143"/>
      <c r="I138" s="143"/>
      <c r="J138" s="143"/>
      <c r="K138" s="143"/>
      <c r="L138" s="142" t="s">
        <v>378</v>
      </c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2" t="s">
        <v>530</v>
      </c>
      <c r="AT138" s="143"/>
      <c r="AU138" s="142" t="s">
        <v>678</v>
      </c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0">
        <f>'Výkaz výměr'!F145</f>
        <v>145.64</v>
      </c>
      <c r="CL138" s="141"/>
      <c r="CM138" s="141"/>
      <c r="CN138" s="141"/>
      <c r="CO138" s="141"/>
      <c r="CP138" s="140">
        <f>'Výkaz výměr'!G145</f>
        <v>0</v>
      </c>
      <c r="CQ138" s="141"/>
      <c r="CR138" s="141"/>
      <c r="CS138" s="141"/>
      <c r="CT138" s="141"/>
      <c r="CU138" s="141"/>
      <c r="CV138" s="141"/>
      <c r="CW138" s="141"/>
      <c r="CX138" s="140">
        <f t="shared" si="20"/>
        <v>0</v>
      </c>
      <c r="CY138" s="141"/>
      <c r="CZ138" s="141"/>
      <c r="DA138" s="141"/>
      <c r="DB138" s="141"/>
      <c r="DC138" s="141"/>
      <c r="DD138" s="141"/>
      <c r="DE138" s="141"/>
      <c r="DF138" s="140">
        <f t="shared" si="21"/>
        <v>0</v>
      </c>
      <c r="DG138" s="141"/>
      <c r="DH138" s="141"/>
      <c r="DI138" s="141"/>
      <c r="DJ138" s="141"/>
      <c r="DK138" s="141"/>
      <c r="DL138" s="141"/>
      <c r="DM138" s="141"/>
      <c r="DN138" s="140">
        <f t="shared" si="22"/>
        <v>0</v>
      </c>
      <c r="DO138" s="141"/>
      <c r="DP138" s="141"/>
      <c r="DQ138" s="141"/>
      <c r="DR138" s="141"/>
      <c r="DS138" s="141"/>
      <c r="DT138" s="141"/>
      <c r="DU138" s="141"/>
      <c r="DV138" s="140">
        <f>'Výkaz výměr'!L145</f>
        <v>0</v>
      </c>
      <c r="DW138" s="141"/>
      <c r="DX138" s="141"/>
      <c r="DY138" s="141"/>
      <c r="DZ138" s="141"/>
      <c r="EA138" s="141"/>
      <c r="EB138" s="141"/>
      <c r="EC138" s="141"/>
      <c r="ED138" s="140">
        <f t="shared" si="23"/>
        <v>0</v>
      </c>
      <c r="EE138" s="141"/>
      <c r="EF138" s="141"/>
      <c r="EG138" s="141"/>
      <c r="EH138" s="141"/>
      <c r="EI138" s="141"/>
      <c r="EJ138" s="141"/>
      <c r="EK138" s="141"/>
      <c r="EL138" s="142" t="s">
        <v>559</v>
      </c>
      <c r="EM138" s="143"/>
      <c r="EN138" s="143"/>
      <c r="EO138" s="143"/>
      <c r="EP138" s="143"/>
      <c r="EQ138" s="143"/>
      <c r="IR138" s="43">
        <f t="shared" si="26"/>
        <v>0</v>
      </c>
      <c r="IS138" s="43">
        <f t="shared" si="27"/>
        <v>0</v>
      </c>
    </row>
    <row r="139" spans="1:253" ht="12.75">
      <c r="A139" s="142" t="s">
        <v>119</v>
      </c>
      <c r="B139" s="143"/>
      <c r="C139" s="142" t="s">
        <v>199</v>
      </c>
      <c r="D139" s="143"/>
      <c r="E139" s="143"/>
      <c r="F139" s="142" t="s">
        <v>227</v>
      </c>
      <c r="G139" s="143"/>
      <c r="H139" s="143"/>
      <c r="I139" s="143"/>
      <c r="J139" s="143"/>
      <c r="K139" s="143"/>
      <c r="L139" s="142" t="s">
        <v>379</v>
      </c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2" t="s">
        <v>530</v>
      </c>
      <c r="AT139" s="143"/>
      <c r="AU139" s="142" t="s">
        <v>679</v>
      </c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0">
        <f>'Výkaz výměr'!F146</f>
        <v>728.2</v>
      </c>
      <c r="CL139" s="141"/>
      <c r="CM139" s="141"/>
      <c r="CN139" s="141"/>
      <c r="CO139" s="141"/>
      <c r="CP139" s="140">
        <f>'Výkaz výměr'!G146</f>
        <v>0</v>
      </c>
      <c r="CQ139" s="141"/>
      <c r="CR139" s="141"/>
      <c r="CS139" s="141"/>
      <c r="CT139" s="141"/>
      <c r="CU139" s="141"/>
      <c r="CV139" s="141"/>
      <c r="CW139" s="141"/>
      <c r="CX139" s="140">
        <f t="shared" si="20"/>
        <v>0</v>
      </c>
      <c r="CY139" s="141"/>
      <c r="CZ139" s="141"/>
      <c r="DA139" s="141"/>
      <c r="DB139" s="141"/>
      <c r="DC139" s="141"/>
      <c r="DD139" s="141"/>
      <c r="DE139" s="141"/>
      <c r="DF139" s="140">
        <f t="shared" si="21"/>
        <v>0</v>
      </c>
      <c r="DG139" s="141"/>
      <c r="DH139" s="141"/>
      <c r="DI139" s="141"/>
      <c r="DJ139" s="141"/>
      <c r="DK139" s="141"/>
      <c r="DL139" s="141"/>
      <c r="DM139" s="141"/>
      <c r="DN139" s="140">
        <f t="shared" si="22"/>
        <v>0</v>
      </c>
      <c r="DO139" s="141"/>
      <c r="DP139" s="141"/>
      <c r="DQ139" s="141"/>
      <c r="DR139" s="141"/>
      <c r="DS139" s="141"/>
      <c r="DT139" s="141"/>
      <c r="DU139" s="141"/>
      <c r="DV139" s="140">
        <f>'Výkaz výměr'!L146</f>
        <v>0</v>
      </c>
      <c r="DW139" s="141"/>
      <c r="DX139" s="141"/>
      <c r="DY139" s="141"/>
      <c r="DZ139" s="141"/>
      <c r="EA139" s="141"/>
      <c r="EB139" s="141"/>
      <c r="EC139" s="141"/>
      <c r="ED139" s="140">
        <f t="shared" si="23"/>
        <v>0</v>
      </c>
      <c r="EE139" s="141"/>
      <c r="EF139" s="141"/>
      <c r="EG139" s="141"/>
      <c r="EH139" s="141"/>
      <c r="EI139" s="141"/>
      <c r="EJ139" s="141"/>
      <c r="EK139" s="141"/>
      <c r="EL139" s="142" t="s">
        <v>559</v>
      </c>
      <c r="EM139" s="143"/>
      <c r="EN139" s="143"/>
      <c r="EO139" s="143"/>
      <c r="EP139" s="143"/>
      <c r="EQ139" s="143"/>
      <c r="IR139" s="43">
        <f t="shared" si="26"/>
        <v>0</v>
      </c>
      <c r="IS139" s="43">
        <f t="shared" si="27"/>
        <v>0</v>
      </c>
    </row>
    <row r="140" spans="1:253" ht="12.75">
      <c r="A140" s="142" t="s">
        <v>120</v>
      </c>
      <c r="B140" s="143"/>
      <c r="C140" s="142" t="s">
        <v>199</v>
      </c>
      <c r="D140" s="143"/>
      <c r="E140" s="143"/>
      <c r="F140" s="142" t="s">
        <v>214</v>
      </c>
      <c r="G140" s="143"/>
      <c r="H140" s="143"/>
      <c r="I140" s="143"/>
      <c r="J140" s="143"/>
      <c r="K140" s="143"/>
      <c r="L140" s="142" t="s">
        <v>370</v>
      </c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2" t="s">
        <v>530</v>
      </c>
      <c r="AT140" s="143"/>
      <c r="AU140" s="142" t="s">
        <v>680</v>
      </c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0">
        <f>'Výkaz výměr'!F147</f>
        <v>728.2</v>
      </c>
      <c r="CL140" s="141"/>
      <c r="CM140" s="141"/>
      <c r="CN140" s="141"/>
      <c r="CO140" s="141"/>
      <c r="CP140" s="140">
        <f>'Výkaz výměr'!G147</f>
        <v>0</v>
      </c>
      <c r="CQ140" s="141"/>
      <c r="CR140" s="141"/>
      <c r="CS140" s="141"/>
      <c r="CT140" s="141"/>
      <c r="CU140" s="141"/>
      <c r="CV140" s="141"/>
      <c r="CW140" s="141"/>
      <c r="CX140" s="140">
        <f t="shared" si="20"/>
        <v>0</v>
      </c>
      <c r="CY140" s="141"/>
      <c r="CZ140" s="141"/>
      <c r="DA140" s="141"/>
      <c r="DB140" s="141"/>
      <c r="DC140" s="141"/>
      <c r="DD140" s="141"/>
      <c r="DE140" s="141"/>
      <c r="DF140" s="140">
        <f t="shared" si="21"/>
        <v>0</v>
      </c>
      <c r="DG140" s="141"/>
      <c r="DH140" s="141"/>
      <c r="DI140" s="141"/>
      <c r="DJ140" s="141"/>
      <c r="DK140" s="141"/>
      <c r="DL140" s="141"/>
      <c r="DM140" s="141"/>
      <c r="DN140" s="140">
        <f t="shared" si="22"/>
        <v>0</v>
      </c>
      <c r="DO140" s="141"/>
      <c r="DP140" s="141"/>
      <c r="DQ140" s="141"/>
      <c r="DR140" s="141"/>
      <c r="DS140" s="141"/>
      <c r="DT140" s="141"/>
      <c r="DU140" s="141"/>
      <c r="DV140" s="140">
        <f>'Výkaz výměr'!L147</f>
        <v>0</v>
      </c>
      <c r="DW140" s="141"/>
      <c r="DX140" s="141"/>
      <c r="DY140" s="141"/>
      <c r="DZ140" s="141"/>
      <c r="EA140" s="141"/>
      <c r="EB140" s="141"/>
      <c r="EC140" s="141"/>
      <c r="ED140" s="140">
        <f t="shared" si="23"/>
        <v>0</v>
      </c>
      <c r="EE140" s="141"/>
      <c r="EF140" s="141"/>
      <c r="EG140" s="141"/>
      <c r="EH140" s="141"/>
      <c r="EI140" s="141"/>
      <c r="EJ140" s="141"/>
      <c r="EK140" s="141"/>
      <c r="EL140" s="142" t="s">
        <v>559</v>
      </c>
      <c r="EM140" s="143"/>
      <c r="EN140" s="143"/>
      <c r="EO140" s="143"/>
      <c r="EP140" s="143"/>
      <c r="EQ140" s="143"/>
      <c r="IR140" s="43">
        <f t="shared" si="26"/>
        <v>0</v>
      </c>
      <c r="IS140" s="43">
        <f t="shared" si="27"/>
        <v>0</v>
      </c>
    </row>
    <row r="141" spans="1:253" ht="12.75">
      <c r="A141" s="142" t="s">
        <v>121</v>
      </c>
      <c r="B141" s="143"/>
      <c r="C141" s="142" t="s">
        <v>199</v>
      </c>
      <c r="D141" s="143"/>
      <c r="E141" s="143"/>
      <c r="F141" s="142" t="s">
        <v>229</v>
      </c>
      <c r="G141" s="143"/>
      <c r="H141" s="143"/>
      <c r="I141" s="143"/>
      <c r="J141" s="143"/>
      <c r="K141" s="143"/>
      <c r="L141" s="142" t="s">
        <v>381</v>
      </c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2" t="s">
        <v>530</v>
      </c>
      <c r="AT141" s="143"/>
      <c r="AU141" s="142" t="s">
        <v>681</v>
      </c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0">
        <f>'Výkaz výměr'!F148</f>
        <v>90.75</v>
      </c>
      <c r="CL141" s="141"/>
      <c r="CM141" s="141"/>
      <c r="CN141" s="141"/>
      <c r="CO141" s="141"/>
      <c r="CP141" s="140">
        <f>'Výkaz výměr'!G148</f>
        <v>0</v>
      </c>
      <c r="CQ141" s="141"/>
      <c r="CR141" s="141"/>
      <c r="CS141" s="141"/>
      <c r="CT141" s="141"/>
      <c r="CU141" s="141"/>
      <c r="CV141" s="141"/>
      <c r="CW141" s="141"/>
      <c r="CX141" s="140">
        <f t="shared" si="20"/>
        <v>0</v>
      </c>
      <c r="CY141" s="141"/>
      <c r="CZ141" s="141"/>
      <c r="DA141" s="141"/>
      <c r="DB141" s="141"/>
      <c r="DC141" s="141"/>
      <c r="DD141" s="141"/>
      <c r="DE141" s="141"/>
      <c r="DF141" s="140">
        <f t="shared" si="21"/>
        <v>0</v>
      </c>
      <c r="DG141" s="141"/>
      <c r="DH141" s="141"/>
      <c r="DI141" s="141"/>
      <c r="DJ141" s="141"/>
      <c r="DK141" s="141"/>
      <c r="DL141" s="141"/>
      <c r="DM141" s="141"/>
      <c r="DN141" s="140">
        <f t="shared" si="22"/>
        <v>0</v>
      </c>
      <c r="DO141" s="141"/>
      <c r="DP141" s="141"/>
      <c r="DQ141" s="141"/>
      <c r="DR141" s="141"/>
      <c r="DS141" s="141"/>
      <c r="DT141" s="141"/>
      <c r="DU141" s="141"/>
      <c r="DV141" s="140">
        <f>'Výkaz výměr'!L148</f>
        <v>0</v>
      </c>
      <c r="DW141" s="141"/>
      <c r="DX141" s="141"/>
      <c r="DY141" s="141"/>
      <c r="DZ141" s="141"/>
      <c r="EA141" s="141"/>
      <c r="EB141" s="141"/>
      <c r="EC141" s="141"/>
      <c r="ED141" s="140">
        <f t="shared" si="23"/>
        <v>0</v>
      </c>
      <c r="EE141" s="141"/>
      <c r="EF141" s="141"/>
      <c r="EG141" s="141"/>
      <c r="EH141" s="141"/>
      <c r="EI141" s="141"/>
      <c r="EJ141" s="141"/>
      <c r="EK141" s="141"/>
      <c r="EL141" s="142" t="s">
        <v>559</v>
      </c>
      <c r="EM141" s="143"/>
      <c r="EN141" s="143"/>
      <c r="EO141" s="143"/>
      <c r="EP141" s="143"/>
      <c r="EQ141" s="143"/>
      <c r="IR141" s="43">
        <f t="shared" si="26"/>
        <v>0</v>
      </c>
      <c r="IS141" s="43">
        <f t="shared" si="27"/>
        <v>0</v>
      </c>
    </row>
    <row r="142" spans="1:253" ht="12.75">
      <c r="A142" s="142" t="s">
        <v>122</v>
      </c>
      <c r="B142" s="143"/>
      <c r="C142" s="142" t="s">
        <v>199</v>
      </c>
      <c r="D142" s="143"/>
      <c r="E142" s="143"/>
      <c r="F142" s="142" t="s">
        <v>230</v>
      </c>
      <c r="G142" s="143"/>
      <c r="H142" s="143"/>
      <c r="I142" s="143"/>
      <c r="J142" s="143"/>
      <c r="K142" s="143"/>
      <c r="L142" s="142" t="s">
        <v>382</v>
      </c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2" t="s">
        <v>526</v>
      </c>
      <c r="AT142" s="143"/>
      <c r="AU142" s="142" t="s">
        <v>682</v>
      </c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0">
        <f>'Výkaz výměr'!F149</f>
        <v>36.3</v>
      </c>
      <c r="CL142" s="141"/>
      <c r="CM142" s="141"/>
      <c r="CN142" s="141"/>
      <c r="CO142" s="141"/>
      <c r="CP142" s="140">
        <f>'Výkaz výměr'!G149</f>
        <v>0</v>
      </c>
      <c r="CQ142" s="141"/>
      <c r="CR142" s="141"/>
      <c r="CS142" s="141"/>
      <c r="CT142" s="141"/>
      <c r="CU142" s="141"/>
      <c r="CV142" s="141"/>
      <c r="CW142" s="141"/>
      <c r="CX142" s="140">
        <f t="shared" si="20"/>
        <v>0</v>
      </c>
      <c r="CY142" s="141"/>
      <c r="CZ142" s="141"/>
      <c r="DA142" s="141"/>
      <c r="DB142" s="141"/>
      <c r="DC142" s="141"/>
      <c r="DD142" s="141"/>
      <c r="DE142" s="141"/>
      <c r="DF142" s="140">
        <f t="shared" si="21"/>
        <v>0</v>
      </c>
      <c r="DG142" s="141"/>
      <c r="DH142" s="141"/>
      <c r="DI142" s="141"/>
      <c r="DJ142" s="141"/>
      <c r="DK142" s="141"/>
      <c r="DL142" s="141"/>
      <c r="DM142" s="141"/>
      <c r="DN142" s="140">
        <f t="shared" si="22"/>
        <v>0</v>
      </c>
      <c r="DO142" s="141"/>
      <c r="DP142" s="141"/>
      <c r="DQ142" s="141"/>
      <c r="DR142" s="141"/>
      <c r="DS142" s="141"/>
      <c r="DT142" s="141"/>
      <c r="DU142" s="141"/>
      <c r="DV142" s="140">
        <f>'Výkaz výměr'!L149</f>
        <v>0.02478</v>
      </c>
      <c r="DW142" s="141"/>
      <c r="DX142" s="141"/>
      <c r="DY142" s="141"/>
      <c r="DZ142" s="141"/>
      <c r="EA142" s="141"/>
      <c r="EB142" s="141"/>
      <c r="EC142" s="141"/>
      <c r="ED142" s="140">
        <f t="shared" si="23"/>
        <v>0.8995139999999999</v>
      </c>
      <c r="EE142" s="141"/>
      <c r="EF142" s="141"/>
      <c r="EG142" s="141"/>
      <c r="EH142" s="141"/>
      <c r="EI142" s="141"/>
      <c r="EJ142" s="141"/>
      <c r="EK142" s="141"/>
      <c r="EL142" s="142" t="s">
        <v>559</v>
      </c>
      <c r="EM142" s="143"/>
      <c r="EN142" s="143"/>
      <c r="EO142" s="143"/>
      <c r="EP142" s="143"/>
      <c r="EQ142" s="143"/>
      <c r="IR142" s="43">
        <f>CP142*0.290787671232877</f>
        <v>0</v>
      </c>
      <c r="IS142" s="43">
        <f>CP142*(1-0.290787671232877)</f>
        <v>0</v>
      </c>
    </row>
    <row r="143" spans="1:253" ht="12.75">
      <c r="A143" s="142" t="s">
        <v>123</v>
      </c>
      <c r="B143" s="143"/>
      <c r="C143" s="142" t="s">
        <v>199</v>
      </c>
      <c r="D143" s="143"/>
      <c r="E143" s="143"/>
      <c r="F143" s="142" t="s">
        <v>231</v>
      </c>
      <c r="G143" s="143"/>
      <c r="H143" s="143"/>
      <c r="I143" s="143"/>
      <c r="J143" s="143"/>
      <c r="K143" s="143"/>
      <c r="L143" s="142" t="s">
        <v>383</v>
      </c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2" t="s">
        <v>526</v>
      </c>
      <c r="AT143" s="143"/>
      <c r="AU143" s="142" t="s">
        <v>683</v>
      </c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0">
        <f>'Výkaz výměr'!F150</f>
        <v>26.4</v>
      </c>
      <c r="CL143" s="141"/>
      <c r="CM143" s="141"/>
      <c r="CN143" s="141"/>
      <c r="CO143" s="141"/>
      <c r="CP143" s="140">
        <f>'Výkaz výměr'!G150</f>
        <v>0</v>
      </c>
      <c r="CQ143" s="141"/>
      <c r="CR143" s="141"/>
      <c r="CS143" s="141"/>
      <c r="CT143" s="141"/>
      <c r="CU143" s="141"/>
      <c r="CV143" s="141"/>
      <c r="CW143" s="141"/>
      <c r="CX143" s="140">
        <f t="shared" si="20"/>
        <v>0</v>
      </c>
      <c r="CY143" s="141"/>
      <c r="CZ143" s="141"/>
      <c r="DA143" s="141"/>
      <c r="DB143" s="141"/>
      <c r="DC143" s="141"/>
      <c r="DD143" s="141"/>
      <c r="DE143" s="141"/>
      <c r="DF143" s="140">
        <f t="shared" si="21"/>
        <v>0</v>
      </c>
      <c r="DG143" s="141"/>
      <c r="DH143" s="141"/>
      <c r="DI143" s="141"/>
      <c r="DJ143" s="141"/>
      <c r="DK143" s="141"/>
      <c r="DL143" s="141"/>
      <c r="DM143" s="141"/>
      <c r="DN143" s="140">
        <f t="shared" si="22"/>
        <v>0</v>
      </c>
      <c r="DO143" s="141"/>
      <c r="DP143" s="141"/>
      <c r="DQ143" s="141"/>
      <c r="DR143" s="141"/>
      <c r="DS143" s="141"/>
      <c r="DT143" s="141"/>
      <c r="DU143" s="141"/>
      <c r="DV143" s="140">
        <f>'Výkaz výměr'!L150</f>
        <v>0.01271</v>
      </c>
      <c r="DW143" s="141"/>
      <c r="DX143" s="141"/>
      <c r="DY143" s="141"/>
      <c r="DZ143" s="141"/>
      <c r="EA143" s="141"/>
      <c r="EB143" s="141"/>
      <c r="EC143" s="141"/>
      <c r="ED143" s="140">
        <f t="shared" si="23"/>
        <v>0.335544</v>
      </c>
      <c r="EE143" s="141"/>
      <c r="EF143" s="141"/>
      <c r="EG143" s="141"/>
      <c r="EH143" s="141"/>
      <c r="EI143" s="141"/>
      <c r="EJ143" s="141"/>
      <c r="EK143" s="141"/>
      <c r="EL143" s="142" t="s">
        <v>559</v>
      </c>
      <c r="EM143" s="143"/>
      <c r="EN143" s="143"/>
      <c r="EO143" s="143"/>
      <c r="EP143" s="143"/>
      <c r="EQ143" s="143"/>
      <c r="IR143" s="43">
        <f>CP143*0.25712888484174</f>
        <v>0</v>
      </c>
      <c r="IS143" s="43">
        <f>CP143*(1-0.25712888484174)</f>
        <v>0</v>
      </c>
    </row>
    <row r="144" spans="1:253" ht="12.75">
      <c r="A144" s="142" t="s">
        <v>124</v>
      </c>
      <c r="B144" s="143"/>
      <c r="C144" s="142" t="s">
        <v>199</v>
      </c>
      <c r="D144" s="143"/>
      <c r="E144" s="143"/>
      <c r="F144" s="142" t="s">
        <v>232</v>
      </c>
      <c r="G144" s="143"/>
      <c r="H144" s="143"/>
      <c r="I144" s="143"/>
      <c r="J144" s="143"/>
      <c r="K144" s="143"/>
      <c r="L144" s="142" t="s">
        <v>384</v>
      </c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2" t="s">
        <v>526</v>
      </c>
      <c r="AT144" s="143"/>
      <c r="AU144" s="142" t="s">
        <v>684</v>
      </c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0">
        <f>'Výkaz výměr'!F151</f>
        <v>26.4</v>
      </c>
      <c r="CL144" s="141"/>
      <c r="CM144" s="141"/>
      <c r="CN144" s="141"/>
      <c r="CO144" s="141"/>
      <c r="CP144" s="140">
        <f>'Výkaz výměr'!G151</f>
        <v>0</v>
      </c>
      <c r="CQ144" s="141"/>
      <c r="CR144" s="141"/>
      <c r="CS144" s="141"/>
      <c r="CT144" s="141"/>
      <c r="CU144" s="141"/>
      <c r="CV144" s="141"/>
      <c r="CW144" s="141"/>
      <c r="CX144" s="140">
        <f t="shared" si="20"/>
        <v>0</v>
      </c>
      <c r="CY144" s="141"/>
      <c r="CZ144" s="141"/>
      <c r="DA144" s="141"/>
      <c r="DB144" s="141"/>
      <c r="DC144" s="141"/>
      <c r="DD144" s="141"/>
      <c r="DE144" s="141"/>
      <c r="DF144" s="140">
        <f t="shared" si="21"/>
        <v>0</v>
      </c>
      <c r="DG144" s="141"/>
      <c r="DH144" s="141"/>
      <c r="DI144" s="141"/>
      <c r="DJ144" s="141"/>
      <c r="DK144" s="141"/>
      <c r="DL144" s="141"/>
      <c r="DM144" s="141"/>
      <c r="DN144" s="140">
        <f t="shared" si="22"/>
        <v>0</v>
      </c>
      <c r="DO144" s="141"/>
      <c r="DP144" s="141"/>
      <c r="DQ144" s="141"/>
      <c r="DR144" s="141"/>
      <c r="DS144" s="141"/>
      <c r="DT144" s="141"/>
      <c r="DU144" s="141"/>
      <c r="DV144" s="140">
        <f>'Výkaz výměr'!L151</f>
        <v>0.0107</v>
      </c>
      <c r="DW144" s="141"/>
      <c r="DX144" s="141"/>
      <c r="DY144" s="141"/>
      <c r="DZ144" s="141"/>
      <c r="EA144" s="141"/>
      <c r="EB144" s="141"/>
      <c r="EC144" s="141"/>
      <c r="ED144" s="140">
        <f t="shared" si="23"/>
        <v>0.28247999999999995</v>
      </c>
      <c r="EE144" s="141"/>
      <c r="EF144" s="141"/>
      <c r="EG144" s="141"/>
      <c r="EH144" s="141"/>
      <c r="EI144" s="141"/>
      <c r="EJ144" s="141"/>
      <c r="EK144" s="141"/>
      <c r="EL144" s="142" t="s">
        <v>559</v>
      </c>
      <c r="EM144" s="143"/>
      <c r="EN144" s="143"/>
      <c r="EO144" s="143"/>
      <c r="EP144" s="143"/>
      <c r="EQ144" s="143"/>
      <c r="IR144" s="43">
        <f>CP144*0.270031612223393</f>
        <v>0</v>
      </c>
      <c r="IS144" s="43">
        <f>CP144*(1-0.270031612223393)</f>
        <v>0</v>
      </c>
    </row>
    <row r="145" spans="1:253" ht="12.75">
      <c r="A145" s="142" t="s">
        <v>125</v>
      </c>
      <c r="B145" s="143"/>
      <c r="C145" s="142" t="s">
        <v>199</v>
      </c>
      <c r="D145" s="143"/>
      <c r="E145" s="143"/>
      <c r="F145" s="142" t="s">
        <v>233</v>
      </c>
      <c r="G145" s="143"/>
      <c r="H145" s="143"/>
      <c r="I145" s="143"/>
      <c r="J145" s="143"/>
      <c r="K145" s="143"/>
      <c r="L145" s="142" t="s">
        <v>385</v>
      </c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2" t="s">
        <v>531</v>
      </c>
      <c r="AT145" s="143"/>
      <c r="AU145" s="142" t="s">
        <v>633</v>
      </c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0">
        <f>'Výkaz výměr'!F152</f>
        <v>22.7375</v>
      </c>
      <c r="CL145" s="141"/>
      <c r="CM145" s="141"/>
      <c r="CN145" s="141"/>
      <c r="CO145" s="141"/>
      <c r="CP145" s="140">
        <f>'Výkaz výměr'!G152</f>
        <v>0</v>
      </c>
      <c r="CQ145" s="141"/>
      <c r="CR145" s="141"/>
      <c r="CS145" s="141"/>
      <c r="CT145" s="141"/>
      <c r="CU145" s="141"/>
      <c r="CV145" s="141"/>
      <c r="CW145" s="141"/>
      <c r="CX145" s="140">
        <f t="shared" si="20"/>
        <v>0</v>
      </c>
      <c r="CY145" s="141"/>
      <c r="CZ145" s="141"/>
      <c r="DA145" s="141"/>
      <c r="DB145" s="141"/>
      <c r="DC145" s="141"/>
      <c r="DD145" s="141"/>
      <c r="DE145" s="141"/>
      <c r="DF145" s="140">
        <f t="shared" si="21"/>
        <v>0</v>
      </c>
      <c r="DG145" s="141"/>
      <c r="DH145" s="141"/>
      <c r="DI145" s="141"/>
      <c r="DJ145" s="141"/>
      <c r="DK145" s="141"/>
      <c r="DL145" s="141"/>
      <c r="DM145" s="141"/>
      <c r="DN145" s="140">
        <f t="shared" si="22"/>
        <v>0</v>
      </c>
      <c r="DO145" s="141"/>
      <c r="DP145" s="141"/>
      <c r="DQ145" s="141"/>
      <c r="DR145" s="141"/>
      <c r="DS145" s="141"/>
      <c r="DT145" s="141"/>
      <c r="DU145" s="141"/>
      <c r="DV145" s="140">
        <f>'Výkaz výměr'!L152</f>
        <v>0</v>
      </c>
      <c r="DW145" s="141"/>
      <c r="DX145" s="141"/>
      <c r="DY145" s="141"/>
      <c r="DZ145" s="141"/>
      <c r="EA145" s="141"/>
      <c r="EB145" s="141"/>
      <c r="EC145" s="141"/>
      <c r="ED145" s="140">
        <f t="shared" si="23"/>
        <v>0</v>
      </c>
      <c r="EE145" s="141"/>
      <c r="EF145" s="141"/>
      <c r="EG145" s="141"/>
      <c r="EH145" s="141"/>
      <c r="EI145" s="141"/>
      <c r="EJ145" s="141"/>
      <c r="EK145" s="141"/>
      <c r="EL145" s="142" t="s">
        <v>559</v>
      </c>
      <c r="EM145" s="143"/>
      <c r="EN145" s="143"/>
      <c r="EO145" s="143"/>
      <c r="EP145" s="143"/>
      <c r="EQ145" s="143"/>
      <c r="IR145" s="43">
        <f>CP145*0</f>
        <v>0</v>
      </c>
      <c r="IS145" s="43">
        <f>CP145*(1-0)</f>
        <v>0</v>
      </c>
    </row>
    <row r="146" spans="1:253" ht="12.75">
      <c r="A146" s="142" t="s">
        <v>126</v>
      </c>
      <c r="B146" s="143"/>
      <c r="C146" s="142" t="s">
        <v>199</v>
      </c>
      <c r="D146" s="143"/>
      <c r="E146" s="143"/>
      <c r="F146" s="142" t="s">
        <v>234</v>
      </c>
      <c r="G146" s="143"/>
      <c r="H146" s="143"/>
      <c r="I146" s="143"/>
      <c r="J146" s="143"/>
      <c r="K146" s="143"/>
      <c r="L146" s="142" t="s">
        <v>444</v>
      </c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2" t="s">
        <v>532</v>
      </c>
      <c r="AT146" s="143"/>
      <c r="AU146" s="142" t="s">
        <v>634</v>
      </c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0">
        <f>'Výkaz výměr'!F153</f>
        <v>181.9</v>
      </c>
      <c r="CL146" s="141"/>
      <c r="CM146" s="141"/>
      <c r="CN146" s="141"/>
      <c r="CO146" s="141"/>
      <c r="CP146" s="140">
        <f>'Výkaz výměr'!G153</f>
        <v>0</v>
      </c>
      <c r="CQ146" s="141"/>
      <c r="CR146" s="141"/>
      <c r="CS146" s="141"/>
      <c r="CT146" s="141"/>
      <c r="CU146" s="141"/>
      <c r="CV146" s="141"/>
      <c r="CW146" s="141"/>
      <c r="CX146" s="140">
        <f t="shared" si="20"/>
        <v>0</v>
      </c>
      <c r="CY146" s="141"/>
      <c r="CZ146" s="141"/>
      <c r="DA146" s="141"/>
      <c r="DB146" s="141"/>
      <c r="DC146" s="141"/>
      <c r="DD146" s="141"/>
      <c r="DE146" s="141"/>
      <c r="DF146" s="140">
        <f t="shared" si="21"/>
        <v>0</v>
      </c>
      <c r="DG146" s="141"/>
      <c r="DH146" s="141"/>
      <c r="DI146" s="141"/>
      <c r="DJ146" s="141"/>
      <c r="DK146" s="141"/>
      <c r="DL146" s="141"/>
      <c r="DM146" s="141"/>
      <c r="DN146" s="140">
        <f t="shared" si="22"/>
        <v>0</v>
      </c>
      <c r="DO146" s="141"/>
      <c r="DP146" s="141"/>
      <c r="DQ146" s="141"/>
      <c r="DR146" s="141"/>
      <c r="DS146" s="141"/>
      <c r="DT146" s="141"/>
      <c r="DU146" s="141"/>
      <c r="DV146" s="140">
        <f>'Výkaz výměr'!L153</f>
        <v>0</v>
      </c>
      <c r="DW146" s="141"/>
      <c r="DX146" s="141"/>
      <c r="DY146" s="141"/>
      <c r="DZ146" s="141"/>
      <c r="EA146" s="141"/>
      <c r="EB146" s="141"/>
      <c r="EC146" s="141"/>
      <c r="ED146" s="140">
        <f t="shared" si="23"/>
        <v>0</v>
      </c>
      <c r="EE146" s="141"/>
      <c r="EF146" s="141"/>
      <c r="EG146" s="141"/>
      <c r="EH146" s="141"/>
      <c r="EI146" s="141"/>
      <c r="EJ146" s="141"/>
      <c r="EK146" s="141"/>
      <c r="EL146" s="142" t="s">
        <v>559</v>
      </c>
      <c r="EM146" s="143"/>
      <c r="EN146" s="143"/>
      <c r="EO146" s="143"/>
      <c r="EP146" s="143"/>
      <c r="EQ146" s="143"/>
      <c r="IR146" s="43">
        <f>CP146*0</f>
        <v>0</v>
      </c>
      <c r="IS146" s="43">
        <f>CP146*(1-0)</f>
        <v>0</v>
      </c>
    </row>
    <row r="147" spans="1:147" ht="12.75">
      <c r="A147" s="136" t="s">
        <v>5</v>
      </c>
      <c r="B147" s="137"/>
      <c r="C147" s="136" t="s">
        <v>5</v>
      </c>
      <c r="D147" s="137"/>
      <c r="E147" s="137"/>
      <c r="F147" s="136" t="s">
        <v>8</v>
      </c>
      <c r="G147" s="137"/>
      <c r="H147" s="137"/>
      <c r="I147" s="137"/>
      <c r="J147" s="137"/>
      <c r="K147" s="137"/>
      <c r="L147" s="136" t="s">
        <v>387</v>
      </c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6" t="s">
        <v>5</v>
      </c>
      <c r="AT147" s="137"/>
      <c r="AU147" s="136" t="s">
        <v>5</v>
      </c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8" t="s">
        <v>5</v>
      </c>
      <c r="CL147" s="139"/>
      <c r="CM147" s="139"/>
      <c r="CN147" s="139"/>
      <c r="CO147" s="139"/>
      <c r="CP147" s="138" t="s">
        <v>5</v>
      </c>
      <c r="CQ147" s="139"/>
      <c r="CR147" s="139"/>
      <c r="CS147" s="139"/>
      <c r="CT147" s="139"/>
      <c r="CU147" s="139"/>
      <c r="CV147" s="139"/>
      <c r="CW147" s="139"/>
      <c r="CX147" s="134">
        <f>SUM(CX148:CX179)</f>
        <v>0</v>
      </c>
      <c r="CY147" s="135"/>
      <c r="CZ147" s="135"/>
      <c r="DA147" s="135"/>
      <c r="DB147" s="135"/>
      <c r="DC147" s="135"/>
      <c r="DD147" s="135"/>
      <c r="DE147" s="135"/>
      <c r="DF147" s="144">
        <f>SUM(DF148:DF179)</f>
        <v>0</v>
      </c>
      <c r="DG147" s="139"/>
      <c r="DH147" s="139"/>
      <c r="DI147" s="139"/>
      <c r="DJ147" s="139"/>
      <c r="DK147" s="139"/>
      <c r="DL147" s="139"/>
      <c r="DM147" s="139"/>
      <c r="DN147" s="144">
        <f>SUM(DN148:DN179)</f>
        <v>0</v>
      </c>
      <c r="DO147" s="139"/>
      <c r="DP147" s="139"/>
      <c r="DQ147" s="139"/>
      <c r="DR147" s="139"/>
      <c r="DS147" s="139"/>
      <c r="DT147" s="139"/>
      <c r="DU147" s="139"/>
      <c r="DV147" s="138" t="s">
        <v>5</v>
      </c>
      <c r="DW147" s="139"/>
      <c r="DX147" s="139"/>
      <c r="DY147" s="139"/>
      <c r="DZ147" s="139"/>
      <c r="EA147" s="139"/>
      <c r="EB147" s="139"/>
      <c r="EC147" s="139"/>
      <c r="ED147" s="144">
        <f>SUM(ED148:ED179)</f>
        <v>1326.0825570999998</v>
      </c>
      <c r="EE147" s="139"/>
      <c r="EF147" s="139"/>
      <c r="EG147" s="139"/>
      <c r="EH147" s="139"/>
      <c r="EI147" s="139"/>
      <c r="EJ147" s="139"/>
      <c r="EK147" s="139"/>
      <c r="EL147" s="136" t="s">
        <v>5</v>
      </c>
      <c r="EM147" s="137"/>
      <c r="EN147" s="137"/>
      <c r="EO147" s="137"/>
      <c r="EP147" s="137"/>
      <c r="EQ147" s="137"/>
    </row>
    <row r="148" spans="1:253" ht="12.75">
      <c r="A148" s="132" t="s">
        <v>127</v>
      </c>
      <c r="B148" s="133"/>
      <c r="C148" s="132" t="s">
        <v>199</v>
      </c>
      <c r="D148" s="133"/>
      <c r="E148" s="133"/>
      <c r="F148" s="132" t="s">
        <v>285</v>
      </c>
      <c r="G148" s="133"/>
      <c r="H148" s="133"/>
      <c r="I148" s="133"/>
      <c r="J148" s="133"/>
      <c r="K148" s="133"/>
      <c r="L148" s="132" t="s">
        <v>445</v>
      </c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2" t="s">
        <v>526</v>
      </c>
      <c r="AT148" s="133"/>
      <c r="AU148" s="132" t="s">
        <v>685</v>
      </c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0">
        <f>'Výkaz výměr'!F155</f>
        <v>20.3</v>
      </c>
      <c r="CL148" s="131"/>
      <c r="CM148" s="131"/>
      <c r="CN148" s="131"/>
      <c r="CO148" s="131"/>
      <c r="CP148" s="130">
        <f>'Výkaz výměr'!G155</f>
        <v>0</v>
      </c>
      <c r="CQ148" s="131"/>
      <c r="CR148" s="131"/>
      <c r="CS148" s="131"/>
      <c r="CT148" s="131"/>
      <c r="CU148" s="131"/>
      <c r="CV148" s="131"/>
      <c r="CW148" s="131"/>
      <c r="CX148" s="130">
        <f aca="true" t="shared" si="28" ref="CX148:CX156">IR148*CK148</f>
        <v>0</v>
      </c>
      <c r="CY148" s="131"/>
      <c r="CZ148" s="131"/>
      <c r="DA148" s="131"/>
      <c r="DB148" s="131"/>
      <c r="DC148" s="131"/>
      <c r="DD148" s="131"/>
      <c r="DE148" s="131"/>
      <c r="DF148" s="130">
        <f aca="true" t="shared" si="29" ref="DF148:DF156">IS148*CK148</f>
        <v>0</v>
      </c>
      <c r="DG148" s="131"/>
      <c r="DH148" s="131"/>
      <c r="DI148" s="131"/>
      <c r="DJ148" s="131"/>
      <c r="DK148" s="131"/>
      <c r="DL148" s="131"/>
      <c r="DM148" s="131"/>
      <c r="DN148" s="130">
        <f aca="true" t="shared" si="30" ref="DN148:DN156">IR148*CK148+IS148*CK148</f>
        <v>0</v>
      </c>
      <c r="DO148" s="131"/>
      <c r="DP148" s="131"/>
      <c r="DQ148" s="131"/>
      <c r="DR148" s="131"/>
      <c r="DS148" s="131"/>
      <c r="DT148" s="131"/>
      <c r="DU148" s="131"/>
      <c r="DV148" s="130">
        <f>'Výkaz výměr'!L155</f>
        <v>1.39</v>
      </c>
      <c r="DW148" s="131"/>
      <c r="DX148" s="131"/>
      <c r="DY148" s="131"/>
      <c r="DZ148" s="131"/>
      <c r="EA148" s="131"/>
      <c r="EB148" s="131"/>
      <c r="EC148" s="131"/>
      <c r="ED148" s="130">
        <f aca="true" t="shared" si="31" ref="ED148:ED156">DV148*CK148</f>
        <v>28.217</v>
      </c>
      <c r="EE148" s="131"/>
      <c r="EF148" s="131"/>
      <c r="EG148" s="131"/>
      <c r="EH148" s="131"/>
      <c r="EI148" s="131"/>
      <c r="EJ148" s="131"/>
      <c r="EK148" s="131"/>
      <c r="EL148" s="132"/>
      <c r="EM148" s="133"/>
      <c r="EN148" s="133"/>
      <c r="EO148" s="133"/>
      <c r="EP148" s="133"/>
      <c r="EQ148" s="133"/>
      <c r="IR148" s="42">
        <f>CP148*1</f>
        <v>0</v>
      </c>
      <c r="IS148" s="42">
        <f>CP148*(1-1)</f>
        <v>0</v>
      </c>
    </row>
    <row r="149" spans="1:253" ht="12.75">
      <c r="A149" s="142" t="s">
        <v>128</v>
      </c>
      <c r="B149" s="143"/>
      <c r="C149" s="142" t="s">
        <v>199</v>
      </c>
      <c r="D149" s="143"/>
      <c r="E149" s="143"/>
      <c r="F149" s="142" t="s">
        <v>286</v>
      </c>
      <c r="G149" s="143"/>
      <c r="H149" s="143"/>
      <c r="I149" s="143"/>
      <c r="J149" s="143"/>
      <c r="K149" s="143"/>
      <c r="L149" s="142" t="s">
        <v>446</v>
      </c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2" t="s">
        <v>526</v>
      </c>
      <c r="AT149" s="143"/>
      <c r="AU149" s="142" t="s">
        <v>686</v>
      </c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0">
        <f>'Výkaz výměr'!F156</f>
        <v>184.22</v>
      </c>
      <c r="CL149" s="141"/>
      <c r="CM149" s="141"/>
      <c r="CN149" s="141"/>
      <c r="CO149" s="141"/>
      <c r="CP149" s="140">
        <f>'Výkaz výměr'!G156</f>
        <v>0</v>
      </c>
      <c r="CQ149" s="141"/>
      <c r="CR149" s="141"/>
      <c r="CS149" s="141"/>
      <c r="CT149" s="141"/>
      <c r="CU149" s="141"/>
      <c r="CV149" s="141"/>
      <c r="CW149" s="141"/>
      <c r="CX149" s="140">
        <f t="shared" si="28"/>
        <v>0</v>
      </c>
      <c r="CY149" s="141"/>
      <c r="CZ149" s="141"/>
      <c r="DA149" s="141"/>
      <c r="DB149" s="141"/>
      <c r="DC149" s="141"/>
      <c r="DD149" s="141"/>
      <c r="DE149" s="141"/>
      <c r="DF149" s="140">
        <f t="shared" si="29"/>
        <v>0</v>
      </c>
      <c r="DG149" s="141"/>
      <c r="DH149" s="141"/>
      <c r="DI149" s="141"/>
      <c r="DJ149" s="141"/>
      <c r="DK149" s="141"/>
      <c r="DL149" s="141"/>
      <c r="DM149" s="141"/>
      <c r="DN149" s="140">
        <f t="shared" si="30"/>
        <v>0</v>
      </c>
      <c r="DO149" s="141"/>
      <c r="DP149" s="141"/>
      <c r="DQ149" s="141"/>
      <c r="DR149" s="141"/>
      <c r="DS149" s="141"/>
      <c r="DT149" s="141"/>
      <c r="DU149" s="141"/>
      <c r="DV149" s="140">
        <f>'Výkaz výměr'!L156</f>
        <v>0.05121</v>
      </c>
      <c r="DW149" s="141"/>
      <c r="DX149" s="141"/>
      <c r="DY149" s="141"/>
      <c r="DZ149" s="141"/>
      <c r="EA149" s="141"/>
      <c r="EB149" s="141"/>
      <c r="EC149" s="141"/>
      <c r="ED149" s="140">
        <f t="shared" si="31"/>
        <v>9.4339062</v>
      </c>
      <c r="EE149" s="141"/>
      <c r="EF149" s="141"/>
      <c r="EG149" s="141"/>
      <c r="EH149" s="141"/>
      <c r="EI149" s="141"/>
      <c r="EJ149" s="141"/>
      <c r="EK149" s="141"/>
      <c r="EL149" s="142" t="s">
        <v>559</v>
      </c>
      <c r="EM149" s="143"/>
      <c r="EN149" s="143"/>
      <c r="EO149" s="143"/>
      <c r="EP149" s="143"/>
      <c r="EQ149" s="143"/>
      <c r="IR149" s="43">
        <f>CP149*0</f>
        <v>0</v>
      </c>
      <c r="IS149" s="43">
        <f>CP149*(1-0)</f>
        <v>0</v>
      </c>
    </row>
    <row r="150" spans="1:253" ht="12.75">
      <c r="A150" s="142" t="s">
        <v>129</v>
      </c>
      <c r="B150" s="143"/>
      <c r="C150" s="142" t="s">
        <v>199</v>
      </c>
      <c r="D150" s="143"/>
      <c r="E150" s="143"/>
      <c r="F150" s="142" t="s">
        <v>287</v>
      </c>
      <c r="G150" s="143"/>
      <c r="H150" s="143"/>
      <c r="I150" s="143"/>
      <c r="J150" s="143"/>
      <c r="K150" s="143"/>
      <c r="L150" s="142" t="s">
        <v>447</v>
      </c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2" t="s">
        <v>526</v>
      </c>
      <c r="AT150" s="143"/>
      <c r="AU150" s="142" t="s">
        <v>687</v>
      </c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0">
        <f>'Výkaz výměr'!F157</f>
        <v>88.63</v>
      </c>
      <c r="CL150" s="141"/>
      <c r="CM150" s="141"/>
      <c r="CN150" s="141"/>
      <c r="CO150" s="141"/>
      <c r="CP150" s="140">
        <f>'Výkaz výměr'!G157</f>
        <v>0</v>
      </c>
      <c r="CQ150" s="141"/>
      <c r="CR150" s="141"/>
      <c r="CS150" s="141"/>
      <c r="CT150" s="141"/>
      <c r="CU150" s="141"/>
      <c r="CV150" s="141"/>
      <c r="CW150" s="141"/>
      <c r="CX150" s="140">
        <f t="shared" si="28"/>
        <v>0</v>
      </c>
      <c r="CY150" s="141"/>
      <c r="CZ150" s="141"/>
      <c r="DA150" s="141"/>
      <c r="DB150" s="141"/>
      <c r="DC150" s="141"/>
      <c r="DD150" s="141"/>
      <c r="DE150" s="141"/>
      <c r="DF150" s="140">
        <f t="shared" si="29"/>
        <v>0</v>
      </c>
      <c r="DG150" s="141"/>
      <c r="DH150" s="141"/>
      <c r="DI150" s="141"/>
      <c r="DJ150" s="141"/>
      <c r="DK150" s="141"/>
      <c r="DL150" s="141"/>
      <c r="DM150" s="141"/>
      <c r="DN150" s="140">
        <f t="shared" si="30"/>
        <v>0</v>
      </c>
      <c r="DO150" s="141"/>
      <c r="DP150" s="141"/>
      <c r="DQ150" s="141"/>
      <c r="DR150" s="141"/>
      <c r="DS150" s="141"/>
      <c r="DT150" s="141"/>
      <c r="DU150" s="141"/>
      <c r="DV150" s="140">
        <f>'Výkaz výměr'!L157</f>
        <v>0.0923</v>
      </c>
      <c r="DW150" s="141"/>
      <c r="DX150" s="141"/>
      <c r="DY150" s="141"/>
      <c r="DZ150" s="141"/>
      <c r="EA150" s="141"/>
      <c r="EB150" s="141"/>
      <c r="EC150" s="141"/>
      <c r="ED150" s="140">
        <f t="shared" si="31"/>
        <v>8.180549</v>
      </c>
      <c r="EE150" s="141"/>
      <c r="EF150" s="141"/>
      <c r="EG150" s="141"/>
      <c r="EH150" s="141"/>
      <c r="EI150" s="141"/>
      <c r="EJ150" s="141"/>
      <c r="EK150" s="141"/>
      <c r="EL150" s="142" t="s">
        <v>559</v>
      </c>
      <c r="EM150" s="143"/>
      <c r="EN150" s="143"/>
      <c r="EO150" s="143"/>
      <c r="EP150" s="143"/>
      <c r="EQ150" s="143"/>
      <c r="IR150" s="43">
        <f>CP150*0</f>
        <v>0</v>
      </c>
      <c r="IS150" s="43">
        <f>CP150*(1-0)</f>
        <v>0</v>
      </c>
    </row>
    <row r="151" spans="1:253" ht="12.75">
      <c r="A151" s="142" t="s">
        <v>130</v>
      </c>
      <c r="B151" s="143"/>
      <c r="C151" s="142" t="s">
        <v>199</v>
      </c>
      <c r="D151" s="143"/>
      <c r="E151" s="143"/>
      <c r="F151" s="142" t="s">
        <v>213</v>
      </c>
      <c r="G151" s="143"/>
      <c r="H151" s="143"/>
      <c r="I151" s="143"/>
      <c r="J151" s="143"/>
      <c r="K151" s="143"/>
      <c r="L151" s="142" t="s">
        <v>361</v>
      </c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2" t="s">
        <v>529</v>
      </c>
      <c r="AT151" s="143"/>
      <c r="AU151" s="142" t="s">
        <v>688</v>
      </c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0">
        <f>'Výkaz výměr'!F158</f>
        <v>45.8315</v>
      </c>
      <c r="CL151" s="141"/>
      <c r="CM151" s="141"/>
      <c r="CN151" s="141"/>
      <c r="CO151" s="141"/>
      <c r="CP151" s="140">
        <f>'Výkaz výměr'!G158</f>
        <v>0</v>
      </c>
      <c r="CQ151" s="141"/>
      <c r="CR151" s="141"/>
      <c r="CS151" s="141"/>
      <c r="CT151" s="141"/>
      <c r="CU151" s="141"/>
      <c r="CV151" s="141"/>
      <c r="CW151" s="141"/>
      <c r="CX151" s="140">
        <f t="shared" si="28"/>
        <v>0</v>
      </c>
      <c r="CY151" s="141"/>
      <c r="CZ151" s="141"/>
      <c r="DA151" s="141"/>
      <c r="DB151" s="141"/>
      <c r="DC151" s="141"/>
      <c r="DD151" s="141"/>
      <c r="DE151" s="141"/>
      <c r="DF151" s="140">
        <f t="shared" si="29"/>
        <v>0</v>
      </c>
      <c r="DG151" s="141"/>
      <c r="DH151" s="141"/>
      <c r="DI151" s="141"/>
      <c r="DJ151" s="141"/>
      <c r="DK151" s="141"/>
      <c r="DL151" s="141"/>
      <c r="DM151" s="141"/>
      <c r="DN151" s="140">
        <f t="shared" si="30"/>
        <v>0</v>
      </c>
      <c r="DO151" s="141"/>
      <c r="DP151" s="141"/>
      <c r="DQ151" s="141"/>
      <c r="DR151" s="141"/>
      <c r="DS151" s="141"/>
      <c r="DT151" s="141"/>
      <c r="DU151" s="141"/>
      <c r="DV151" s="140">
        <f>'Výkaz výměr'!L158</f>
        <v>0</v>
      </c>
      <c r="DW151" s="141"/>
      <c r="DX151" s="141"/>
      <c r="DY151" s="141"/>
      <c r="DZ151" s="141"/>
      <c r="EA151" s="141"/>
      <c r="EB151" s="141"/>
      <c r="EC151" s="141"/>
      <c r="ED151" s="140">
        <f t="shared" si="31"/>
        <v>0</v>
      </c>
      <c r="EE151" s="141"/>
      <c r="EF151" s="141"/>
      <c r="EG151" s="141"/>
      <c r="EH151" s="141"/>
      <c r="EI151" s="141"/>
      <c r="EJ151" s="141"/>
      <c r="EK151" s="141"/>
      <c r="EL151" s="142" t="s">
        <v>559</v>
      </c>
      <c r="EM151" s="143"/>
      <c r="EN151" s="143"/>
      <c r="EO151" s="143"/>
      <c r="EP151" s="143"/>
      <c r="EQ151" s="143"/>
      <c r="IR151" s="43">
        <f>CP151*0</f>
        <v>0</v>
      </c>
      <c r="IS151" s="43">
        <f>CP151*(1-0)</f>
        <v>0</v>
      </c>
    </row>
    <row r="152" spans="1:253" ht="12.75">
      <c r="A152" s="142" t="s">
        <v>131</v>
      </c>
      <c r="B152" s="143"/>
      <c r="C152" s="142" t="s">
        <v>199</v>
      </c>
      <c r="D152" s="143"/>
      <c r="E152" s="143"/>
      <c r="F152" s="142" t="s">
        <v>288</v>
      </c>
      <c r="G152" s="143"/>
      <c r="H152" s="143"/>
      <c r="I152" s="143"/>
      <c r="J152" s="143"/>
      <c r="K152" s="143"/>
      <c r="L152" s="142" t="s">
        <v>448</v>
      </c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2" t="s">
        <v>529</v>
      </c>
      <c r="AT152" s="143"/>
      <c r="AU152" s="142" t="s">
        <v>689</v>
      </c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0">
        <f>'Výkaz výměr'!F159</f>
        <v>45.8315</v>
      </c>
      <c r="CL152" s="141"/>
      <c r="CM152" s="141"/>
      <c r="CN152" s="141"/>
      <c r="CO152" s="141"/>
      <c r="CP152" s="140">
        <f>'Výkaz výměr'!G159</f>
        <v>0</v>
      </c>
      <c r="CQ152" s="141"/>
      <c r="CR152" s="141"/>
      <c r="CS152" s="141"/>
      <c r="CT152" s="141"/>
      <c r="CU152" s="141"/>
      <c r="CV152" s="141"/>
      <c r="CW152" s="141"/>
      <c r="CX152" s="140">
        <f t="shared" si="28"/>
        <v>0</v>
      </c>
      <c r="CY152" s="141"/>
      <c r="CZ152" s="141"/>
      <c r="DA152" s="141"/>
      <c r="DB152" s="141"/>
      <c r="DC152" s="141"/>
      <c r="DD152" s="141"/>
      <c r="DE152" s="141"/>
      <c r="DF152" s="140">
        <f t="shared" si="29"/>
        <v>0</v>
      </c>
      <c r="DG152" s="141"/>
      <c r="DH152" s="141"/>
      <c r="DI152" s="141"/>
      <c r="DJ152" s="141"/>
      <c r="DK152" s="141"/>
      <c r="DL152" s="141"/>
      <c r="DM152" s="141"/>
      <c r="DN152" s="140">
        <f t="shared" si="30"/>
        <v>0</v>
      </c>
      <c r="DO152" s="141"/>
      <c r="DP152" s="141"/>
      <c r="DQ152" s="141"/>
      <c r="DR152" s="141"/>
      <c r="DS152" s="141"/>
      <c r="DT152" s="141"/>
      <c r="DU152" s="141"/>
      <c r="DV152" s="140">
        <f>'Výkaz výměr'!L159</f>
        <v>0</v>
      </c>
      <c r="DW152" s="141"/>
      <c r="DX152" s="141"/>
      <c r="DY152" s="141"/>
      <c r="DZ152" s="141"/>
      <c r="EA152" s="141"/>
      <c r="EB152" s="141"/>
      <c r="EC152" s="141"/>
      <c r="ED152" s="140">
        <f t="shared" si="31"/>
        <v>0</v>
      </c>
      <c r="EE152" s="141"/>
      <c r="EF152" s="141"/>
      <c r="EG152" s="141"/>
      <c r="EH152" s="141"/>
      <c r="EI152" s="141"/>
      <c r="EJ152" s="141"/>
      <c r="EK152" s="141"/>
      <c r="EL152" s="142" t="s">
        <v>559</v>
      </c>
      <c r="EM152" s="143"/>
      <c r="EN152" s="143"/>
      <c r="EO152" s="143"/>
      <c r="EP152" s="143"/>
      <c r="EQ152" s="143"/>
      <c r="IR152" s="43">
        <f>CP152*0</f>
        <v>0</v>
      </c>
      <c r="IS152" s="43">
        <f>CP152*(1-0)</f>
        <v>0</v>
      </c>
    </row>
    <row r="153" spans="1:253" ht="12.75">
      <c r="A153" s="142" t="s">
        <v>132</v>
      </c>
      <c r="B153" s="143"/>
      <c r="C153" s="142" t="s">
        <v>199</v>
      </c>
      <c r="D153" s="143"/>
      <c r="E153" s="143"/>
      <c r="F153" s="142" t="s">
        <v>289</v>
      </c>
      <c r="G153" s="143"/>
      <c r="H153" s="143"/>
      <c r="I153" s="143"/>
      <c r="J153" s="143"/>
      <c r="K153" s="143"/>
      <c r="L153" s="142" t="s">
        <v>449</v>
      </c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2" t="s">
        <v>529</v>
      </c>
      <c r="AT153" s="143"/>
      <c r="AU153" s="142" t="s">
        <v>690</v>
      </c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0">
        <f>'Výkaz výměr'!F160</f>
        <v>183.326</v>
      </c>
      <c r="CL153" s="141"/>
      <c r="CM153" s="141"/>
      <c r="CN153" s="141"/>
      <c r="CO153" s="141"/>
      <c r="CP153" s="140">
        <f>'Výkaz výměr'!G160</f>
        <v>0</v>
      </c>
      <c r="CQ153" s="141"/>
      <c r="CR153" s="141"/>
      <c r="CS153" s="141"/>
      <c r="CT153" s="141"/>
      <c r="CU153" s="141"/>
      <c r="CV153" s="141"/>
      <c r="CW153" s="141"/>
      <c r="CX153" s="140">
        <f t="shared" si="28"/>
        <v>0</v>
      </c>
      <c r="CY153" s="141"/>
      <c r="CZ153" s="141"/>
      <c r="DA153" s="141"/>
      <c r="DB153" s="141"/>
      <c r="DC153" s="141"/>
      <c r="DD153" s="141"/>
      <c r="DE153" s="141"/>
      <c r="DF153" s="140">
        <f t="shared" si="29"/>
        <v>0</v>
      </c>
      <c r="DG153" s="141"/>
      <c r="DH153" s="141"/>
      <c r="DI153" s="141"/>
      <c r="DJ153" s="141"/>
      <c r="DK153" s="141"/>
      <c r="DL153" s="141"/>
      <c r="DM153" s="141"/>
      <c r="DN153" s="140">
        <f t="shared" si="30"/>
        <v>0</v>
      </c>
      <c r="DO153" s="141"/>
      <c r="DP153" s="141"/>
      <c r="DQ153" s="141"/>
      <c r="DR153" s="141"/>
      <c r="DS153" s="141"/>
      <c r="DT153" s="141"/>
      <c r="DU153" s="141"/>
      <c r="DV153" s="140">
        <f>'Výkaz výměr'!L160</f>
        <v>0</v>
      </c>
      <c r="DW153" s="141"/>
      <c r="DX153" s="141"/>
      <c r="DY153" s="141"/>
      <c r="DZ153" s="141"/>
      <c r="EA153" s="141"/>
      <c r="EB153" s="141"/>
      <c r="EC153" s="141"/>
      <c r="ED153" s="140">
        <f t="shared" si="31"/>
        <v>0</v>
      </c>
      <c r="EE153" s="141"/>
      <c r="EF153" s="141"/>
      <c r="EG153" s="141"/>
      <c r="EH153" s="141"/>
      <c r="EI153" s="141"/>
      <c r="EJ153" s="141"/>
      <c r="EK153" s="141"/>
      <c r="EL153" s="142" t="s">
        <v>559</v>
      </c>
      <c r="EM153" s="143"/>
      <c r="EN153" s="143"/>
      <c r="EO153" s="143"/>
      <c r="EP153" s="143"/>
      <c r="EQ153" s="143"/>
      <c r="IR153" s="43">
        <f>CP153*0</f>
        <v>0</v>
      </c>
      <c r="IS153" s="43">
        <f>CP153*(1-0)</f>
        <v>0</v>
      </c>
    </row>
    <row r="154" spans="1:253" ht="12.75">
      <c r="A154" s="142" t="s">
        <v>133</v>
      </c>
      <c r="B154" s="143"/>
      <c r="C154" s="142" t="s">
        <v>199</v>
      </c>
      <c r="D154" s="143"/>
      <c r="E154" s="143"/>
      <c r="F154" s="142" t="s">
        <v>290</v>
      </c>
      <c r="G154" s="143"/>
      <c r="H154" s="143"/>
      <c r="I154" s="143"/>
      <c r="J154" s="143"/>
      <c r="K154" s="143"/>
      <c r="L154" s="142" t="s">
        <v>450</v>
      </c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2" t="s">
        <v>526</v>
      </c>
      <c r="AT154" s="143"/>
      <c r="AU154" s="142" t="s">
        <v>691</v>
      </c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0">
        <f>'Výkaz výměr'!F161</f>
        <v>184.22</v>
      </c>
      <c r="CL154" s="141"/>
      <c r="CM154" s="141"/>
      <c r="CN154" s="141"/>
      <c r="CO154" s="141"/>
      <c r="CP154" s="140">
        <f>'Výkaz výměr'!G161</f>
        <v>0</v>
      </c>
      <c r="CQ154" s="141"/>
      <c r="CR154" s="141"/>
      <c r="CS154" s="141"/>
      <c r="CT154" s="141"/>
      <c r="CU154" s="141"/>
      <c r="CV154" s="141"/>
      <c r="CW154" s="141"/>
      <c r="CX154" s="140">
        <f t="shared" si="28"/>
        <v>0</v>
      </c>
      <c r="CY154" s="141"/>
      <c r="CZ154" s="141"/>
      <c r="DA154" s="141"/>
      <c r="DB154" s="141"/>
      <c r="DC154" s="141"/>
      <c r="DD154" s="141"/>
      <c r="DE154" s="141"/>
      <c r="DF154" s="140">
        <f t="shared" si="29"/>
        <v>0</v>
      </c>
      <c r="DG154" s="141"/>
      <c r="DH154" s="141"/>
      <c r="DI154" s="141"/>
      <c r="DJ154" s="141"/>
      <c r="DK154" s="141"/>
      <c r="DL154" s="141"/>
      <c r="DM154" s="141"/>
      <c r="DN154" s="140">
        <f t="shared" si="30"/>
        <v>0</v>
      </c>
      <c r="DO154" s="141"/>
      <c r="DP154" s="141"/>
      <c r="DQ154" s="141"/>
      <c r="DR154" s="141"/>
      <c r="DS154" s="141"/>
      <c r="DT154" s="141"/>
      <c r="DU154" s="141"/>
      <c r="DV154" s="140">
        <f>'Výkaz výměr'!L161</f>
        <v>0.07312</v>
      </c>
      <c r="DW154" s="141"/>
      <c r="DX154" s="141"/>
      <c r="DY154" s="141"/>
      <c r="DZ154" s="141"/>
      <c r="EA154" s="141"/>
      <c r="EB154" s="141"/>
      <c r="EC154" s="141"/>
      <c r="ED154" s="140">
        <f t="shared" si="31"/>
        <v>13.4701664</v>
      </c>
      <c r="EE154" s="141"/>
      <c r="EF154" s="141"/>
      <c r="EG154" s="141"/>
      <c r="EH154" s="141"/>
      <c r="EI154" s="141"/>
      <c r="EJ154" s="141"/>
      <c r="EK154" s="141"/>
      <c r="EL154" s="142" t="s">
        <v>559</v>
      </c>
      <c r="EM154" s="143"/>
      <c r="EN154" s="143"/>
      <c r="EO154" s="143"/>
      <c r="EP154" s="143"/>
      <c r="EQ154" s="143"/>
      <c r="IR154" s="43">
        <f>CP154*0.691403091557669</f>
        <v>0</v>
      </c>
      <c r="IS154" s="43">
        <f>CP154*(1-0.691403091557669)</f>
        <v>0</v>
      </c>
    </row>
    <row r="155" spans="1:253" ht="12.75">
      <c r="A155" s="142" t="s">
        <v>134</v>
      </c>
      <c r="B155" s="143"/>
      <c r="C155" s="142" t="s">
        <v>199</v>
      </c>
      <c r="D155" s="143"/>
      <c r="E155" s="143"/>
      <c r="F155" s="142" t="s">
        <v>291</v>
      </c>
      <c r="G155" s="143"/>
      <c r="H155" s="143"/>
      <c r="I155" s="143"/>
      <c r="J155" s="143"/>
      <c r="K155" s="143"/>
      <c r="L155" s="142" t="s">
        <v>452</v>
      </c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2" t="s">
        <v>526</v>
      </c>
      <c r="AT155" s="143"/>
      <c r="AU155" s="142" t="s">
        <v>692</v>
      </c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0">
        <f>'Výkaz výměr'!F163</f>
        <v>88.63</v>
      </c>
      <c r="CL155" s="141"/>
      <c r="CM155" s="141"/>
      <c r="CN155" s="141"/>
      <c r="CO155" s="141"/>
      <c r="CP155" s="140">
        <f>'Výkaz výměr'!G163</f>
        <v>0</v>
      </c>
      <c r="CQ155" s="141"/>
      <c r="CR155" s="141"/>
      <c r="CS155" s="141"/>
      <c r="CT155" s="141"/>
      <c r="CU155" s="141"/>
      <c r="CV155" s="141"/>
      <c r="CW155" s="141"/>
      <c r="CX155" s="140">
        <f t="shared" si="28"/>
        <v>0</v>
      </c>
      <c r="CY155" s="141"/>
      <c r="CZ155" s="141"/>
      <c r="DA155" s="141"/>
      <c r="DB155" s="141"/>
      <c r="DC155" s="141"/>
      <c r="DD155" s="141"/>
      <c r="DE155" s="141"/>
      <c r="DF155" s="140">
        <f t="shared" si="29"/>
        <v>0</v>
      </c>
      <c r="DG155" s="141"/>
      <c r="DH155" s="141"/>
      <c r="DI155" s="141"/>
      <c r="DJ155" s="141"/>
      <c r="DK155" s="141"/>
      <c r="DL155" s="141"/>
      <c r="DM155" s="141"/>
      <c r="DN155" s="140">
        <f t="shared" si="30"/>
        <v>0</v>
      </c>
      <c r="DO155" s="141"/>
      <c r="DP155" s="141"/>
      <c r="DQ155" s="141"/>
      <c r="DR155" s="141"/>
      <c r="DS155" s="141"/>
      <c r="DT155" s="141"/>
      <c r="DU155" s="141"/>
      <c r="DV155" s="140">
        <f>'Výkaz výměr'!L163</f>
        <v>0.1381</v>
      </c>
      <c r="DW155" s="141"/>
      <c r="DX155" s="141"/>
      <c r="DY155" s="141"/>
      <c r="DZ155" s="141"/>
      <c r="EA155" s="141"/>
      <c r="EB155" s="141"/>
      <c r="EC155" s="141"/>
      <c r="ED155" s="140">
        <f t="shared" si="31"/>
        <v>12.239803</v>
      </c>
      <c r="EE155" s="141"/>
      <c r="EF155" s="141"/>
      <c r="EG155" s="141"/>
      <c r="EH155" s="141"/>
      <c r="EI155" s="141"/>
      <c r="EJ155" s="141"/>
      <c r="EK155" s="141"/>
      <c r="EL155" s="142" t="s">
        <v>559</v>
      </c>
      <c r="EM155" s="143"/>
      <c r="EN155" s="143"/>
      <c r="EO155" s="143"/>
      <c r="EP155" s="143"/>
      <c r="EQ155" s="143"/>
      <c r="IR155" s="43">
        <f>CP155*0.768783542039356</f>
        <v>0</v>
      </c>
      <c r="IS155" s="43">
        <f>CP155*(1-0.768783542039356)</f>
        <v>0</v>
      </c>
    </row>
    <row r="156" spans="1:253" ht="12.75">
      <c r="A156" s="132" t="s">
        <v>135</v>
      </c>
      <c r="B156" s="133"/>
      <c r="C156" s="132" t="s">
        <v>199</v>
      </c>
      <c r="D156" s="133"/>
      <c r="E156" s="133"/>
      <c r="F156" s="132" t="s">
        <v>292</v>
      </c>
      <c r="G156" s="133"/>
      <c r="H156" s="133"/>
      <c r="I156" s="133"/>
      <c r="J156" s="133"/>
      <c r="K156" s="133"/>
      <c r="L156" s="132" t="s">
        <v>454</v>
      </c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2" t="s">
        <v>526</v>
      </c>
      <c r="AT156" s="133"/>
      <c r="AU156" s="132" t="s">
        <v>693</v>
      </c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0">
        <f>'Výkaz výměr'!F165</f>
        <v>300.135</v>
      </c>
      <c r="CL156" s="131"/>
      <c r="CM156" s="131"/>
      <c r="CN156" s="131"/>
      <c r="CO156" s="131"/>
      <c r="CP156" s="130">
        <f>'Výkaz výměr'!G165</f>
        <v>0</v>
      </c>
      <c r="CQ156" s="131"/>
      <c r="CR156" s="131"/>
      <c r="CS156" s="131"/>
      <c r="CT156" s="131"/>
      <c r="CU156" s="131"/>
      <c r="CV156" s="131"/>
      <c r="CW156" s="131"/>
      <c r="CX156" s="130">
        <f t="shared" si="28"/>
        <v>0</v>
      </c>
      <c r="CY156" s="131"/>
      <c r="CZ156" s="131"/>
      <c r="DA156" s="131"/>
      <c r="DB156" s="131"/>
      <c r="DC156" s="131"/>
      <c r="DD156" s="131"/>
      <c r="DE156" s="131"/>
      <c r="DF156" s="130">
        <f t="shared" si="29"/>
        <v>0</v>
      </c>
      <c r="DG156" s="131"/>
      <c r="DH156" s="131"/>
      <c r="DI156" s="131"/>
      <c r="DJ156" s="131"/>
      <c r="DK156" s="131"/>
      <c r="DL156" s="131"/>
      <c r="DM156" s="131"/>
      <c r="DN156" s="130">
        <f t="shared" si="30"/>
        <v>0</v>
      </c>
      <c r="DO156" s="131"/>
      <c r="DP156" s="131"/>
      <c r="DQ156" s="131"/>
      <c r="DR156" s="131"/>
      <c r="DS156" s="131"/>
      <c r="DT156" s="131"/>
      <c r="DU156" s="131"/>
      <c r="DV156" s="130">
        <f>'Výkaz výměr'!L165</f>
        <v>0</v>
      </c>
      <c r="DW156" s="131"/>
      <c r="DX156" s="131"/>
      <c r="DY156" s="131"/>
      <c r="DZ156" s="131"/>
      <c r="EA156" s="131"/>
      <c r="EB156" s="131"/>
      <c r="EC156" s="131"/>
      <c r="ED156" s="130">
        <f t="shared" si="31"/>
        <v>0</v>
      </c>
      <c r="EE156" s="131"/>
      <c r="EF156" s="131"/>
      <c r="EG156" s="131"/>
      <c r="EH156" s="131"/>
      <c r="EI156" s="131"/>
      <c r="EJ156" s="131"/>
      <c r="EK156" s="131"/>
      <c r="EL156" s="132" t="s">
        <v>559</v>
      </c>
      <c r="EM156" s="133"/>
      <c r="EN156" s="133"/>
      <c r="EO156" s="133"/>
      <c r="EP156" s="133"/>
      <c r="EQ156" s="133"/>
      <c r="IR156" s="42">
        <f>CP156*1</f>
        <v>0</v>
      </c>
      <c r="IS156" s="42">
        <f>CP156*(1-1)</f>
        <v>0</v>
      </c>
    </row>
    <row r="157" spans="1:253" ht="12.75">
      <c r="A157" s="132"/>
      <c r="B157" s="133"/>
      <c r="C157" s="132"/>
      <c r="D157" s="133"/>
      <c r="E157" s="133"/>
      <c r="F157" s="132"/>
      <c r="G157" s="133"/>
      <c r="H157" s="133"/>
      <c r="I157" s="133"/>
      <c r="J157" s="133"/>
      <c r="K157" s="133"/>
      <c r="L157" s="132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2"/>
      <c r="AT157" s="133"/>
      <c r="AU157" s="132" t="s">
        <v>694</v>
      </c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0">
        <v>27.285</v>
      </c>
      <c r="CL157" s="131"/>
      <c r="CM157" s="131"/>
      <c r="CN157" s="131"/>
      <c r="CO157" s="131"/>
      <c r="CP157" s="130">
        <f>'Výkaz výměr'!G165</f>
        <v>0</v>
      </c>
      <c r="CQ157" s="131"/>
      <c r="CR157" s="131"/>
      <c r="CS157" s="131"/>
      <c r="CT157" s="131"/>
      <c r="CU157" s="131"/>
      <c r="CV157" s="131"/>
      <c r="CW157" s="131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0"/>
      <c r="DW157" s="131"/>
      <c r="DX157" s="131"/>
      <c r="DY157" s="131"/>
      <c r="DZ157" s="131"/>
      <c r="EA157" s="131"/>
      <c r="EB157" s="131"/>
      <c r="EC157" s="131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IR157" s="42">
        <f>CP157*1</f>
        <v>0</v>
      </c>
      <c r="IS157" s="42">
        <f>CP157*(1-1)</f>
        <v>0</v>
      </c>
    </row>
    <row r="158" spans="1:253" ht="12.75">
      <c r="A158" s="142" t="s">
        <v>136</v>
      </c>
      <c r="B158" s="143"/>
      <c r="C158" s="142" t="s">
        <v>199</v>
      </c>
      <c r="D158" s="143"/>
      <c r="E158" s="143"/>
      <c r="F158" s="142" t="s">
        <v>255</v>
      </c>
      <c r="G158" s="143"/>
      <c r="H158" s="143"/>
      <c r="I158" s="143"/>
      <c r="J158" s="143"/>
      <c r="K158" s="143"/>
      <c r="L158" s="142" t="s">
        <v>408</v>
      </c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2" t="s">
        <v>528</v>
      </c>
      <c r="AT158" s="143"/>
      <c r="AU158" s="142" t="s">
        <v>695</v>
      </c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0">
        <f>'Výkaz výměr'!F166</f>
        <v>300.135</v>
      </c>
      <c r="CL158" s="141"/>
      <c r="CM158" s="141"/>
      <c r="CN158" s="141"/>
      <c r="CO158" s="141"/>
      <c r="CP158" s="140">
        <f>'Výkaz výměr'!G166</f>
        <v>0</v>
      </c>
      <c r="CQ158" s="141"/>
      <c r="CR158" s="141"/>
      <c r="CS158" s="141"/>
      <c r="CT158" s="141"/>
      <c r="CU158" s="141"/>
      <c r="CV158" s="141"/>
      <c r="CW158" s="141"/>
      <c r="CX158" s="140">
        <f aca="true" t="shared" si="32" ref="CX158:CX179">IR158*CK158</f>
        <v>0</v>
      </c>
      <c r="CY158" s="141"/>
      <c r="CZ158" s="141"/>
      <c r="DA158" s="141"/>
      <c r="DB158" s="141"/>
      <c r="DC158" s="141"/>
      <c r="DD158" s="141"/>
      <c r="DE158" s="141"/>
      <c r="DF158" s="140">
        <f aca="true" t="shared" si="33" ref="DF158:DF179">IS158*CK158</f>
        <v>0</v>
      </c>
      <c r="DG158" s="141"/>
      <c r="DH158" s="141"/>
      <c r="DI158" s="141"/>
      <c r="DJ158" s="141"/>
      <c r="DK158" s="141"/>
      <c r="DL158" s="141"/>
      <c r="DM158" s="141"/>
      <c r="DN158" s="140">
        <f aca="true" t="shared" si="34" ref="DN158:DN179">IR158*CK158+IS158*CK158</f>
        <v>0</v>
      </c>
      <c r="DO158" s="141"/>
      <c r="DP158" s="141"/>
      <c r="DQ158" s="141"/>
      <c r="DR158" s="141"/>
      <c r="DS158" s="141"/>
      <c r="DT158" s="141"/>
      <c r="DU158" s="141"/>
      <c r="DV158" s="140">
        <f>'Výkaz výměr'!L166</f>
        <v>0</v>
      </c>
      <c r="DW158" s="141"/>
      <c r="DX158" s="141"/>
      <c r="DY158" s="141"/>
      <c r="DZ158" s="141"/>
      <c r="EA158" s="141"/>
      <c r="EB158" s="141"/>
      <c r="EC158" s="141"/>
      <c r="ED158" s="140">
        <f aca="true" t="shared" si="35" ref="ED158:ED179">DV158*CK158</f>
        <v>0</v>
      </c>
      <c r="EE158" s="141"/>
      <c r="EF158" s="141"/>
      <c r="EG158" s="141"/>
      <c r="EH158" s="141"/>
      <c r="EI158" s="141"/>
      <c r="EJ158" s="141"/>
      <c r="EK158" s="141"/>
      <c r="EL158" s="142" t="s">
        <v>559</v>
      </c>
      <c r="EM158" s="143"/>
      <c r="EN158" s="143"/>
      <c r="EO158" s="143"/>
      <c r="EP158" s="143"/>
      <c r="EQ158" s="143"/>
      <c r="IR158" s="43">
        <f>CP158*0</f>
        <v>0</v>
      </c>
      <c r="IS158" s="43">
        <f>CP158*(1-0)</f>
        <v>0</v>
      </c>
    </row>
    <row r="159" spans="1:253" ht="12.75">
      <c r="A159" s="142" t="s">
        <v>137</v>
      </c>
      <c r="B159" s="143"/>
      <c r="C159" s="142" t="s">
        <v>199</v>
      </c>
      <c r="D159" s="143"/>
      <c r="E159" s="143"/>
      <c r="F159" s="142" t="s">
        <v>293</v>
      </c>
      <c r="G159" s="143"/>
      <c r="H159" s="143"/>
      <c r="I159" s="143"/>
      <c r="J159" s="143"/>
      <c r="K159" s="143"/>
      <c r="L159" s="142" t="s">
        <v>455</v>
      </c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2" t="s">
        <v>530</v>
      </c>
      <c r="AT159" s="143"/>
      <c r="AU159" s="142" t="s">
        <v>696</v>
      </c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0">
        <f>'Výkaz výměr'!F167</f>
        <v>60.027</v>
      </c>
      <c r="CL159" s="141"/>
      <c r="CM159" s="141"/>
      <c r="CN159" s="141"/>
      <c r="CO159" s="141"/>
      <c r="CP159" s="140">
        <f>'Výkaz výměr'!G167</f>
        <v>0</v>
      </c>
      <c r="CQ159" s="141"/>
      <c r="CR159" s="141"/>
      <c r="CS159" s="141"/>
      <c r="CT159" s="141"/>
      <c r="CU159" s="141"/>
      <c r="CV159" s="141"/>
      <c r="CW159" s="141"/>
      <c r="CX159" s="140">
        <f t="shared" si="32"/>
        <v>0</v>
      </c>
      <c r="CY159" s="141"/>
      <c r="CZ159" s="141"/>
      <c r="DA159" s="141"/>
      <c r="DB159" s="141"/>
      <c r="DC159" s="141"/>
      <c r="DD159" s="141"/>
      <c r="DE159" s="141"/>
      <c r="DF159" s="140">
        <f t="shared" si="33"/>
        <v>0</v>
      </c>
      <c r="DG159" s="141"/>
      <c r="DH159" s="141"/>
      <c r="DI159" s="141"/>
      <c r="DJ159" s="141"/>
      <c r="DK159" s="141"/>
      <c r="DL159" s="141"/>
      <c r="DM159" s="141"/>
      <c r="DN159" s="140">
        <f t="shared" si="34"/>
        <v>0</v>
      </c>
      <c r="DO159" s="141"/>
      <c r="DP159" s="141"/>
      <c r="DQ159" s="141"/>
      <c r="DR159" s="141"/>
      <c r="DS159" s="141"/>
      <c r="DT159" s="141"/>
      <c r="DU159" s="141"/>
      <c r="DV159" s="140">
        <f>'Výkaz výměr'!L167</f>
        <v>1.7875</v>
      </c>
      <c r="DW159" s="141"/>
      <c r="DX159" s="141"/>
      <c r="DY159" s="141"/>
      <c r="DZ159" s="141"/>
      <c r="EA159" s="141"/>
      <c r="EB159" s="141"/>
      <c r="EC159" s="141"/>
      <c r="ED159" s="140">
        <f t="shared" si="35"/>
        <v>107.2982625</v>
      </c>
      <c r="EE159" s="141"/>
      <c r="EF159" s="141"/>
      <c r="EG159" s="141"/>
      <c r="EH159" s="141"/>
      <c r="EI159" s="141"/>
      <c r="EJ159" s="141"/>
      <c r="EK159" s="141"/>
      <c r="EL159" s="142" t="s">
        <v>559</v>
      </c>
      <c r="EM159" s="143"/>
      <c r="EN159" s="143"/>
      <c r="EO159" s="143"/>
      <c r="EP159" s="143"/>
      <c r="EQ159" s="143"/>
      <c r="IR159" s="43">
        <f>CP159*0.617972972972973</f>
        <v>0</v>
      </c>
      <c r="IS159" s="43">
        <f>CP159*(1-0.617972972972973)</f>
        <v>0</v>
      </c>
    </row>
    <row r="160" spans="1:253" ht="12.75">
      <c r="A160" s="142" t="s">
        <v>138</v>
      </c>
      <c r="B160" s="143"/>
      <c r="C160" s="142" t="s">
        <v>199</v>
      </c>
      <c r="D160" s="143"/>
      <c r="E160" s="143"/>
      <c r="F160" s="142" t="s">
        <v>294</v>
      </c>
      <c r="G160" s="143"/>
      <c r="H160" s="143"/>
      <c r="I160" s="143"/>
      <c r="J160" s="143"/>
      <c r="K160" s="143"/>
      <c r="L160" s="142" t="s">
        <v>457</v>
      </c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2" t="s">
        <v>530</v>
      </c>
      <c r="AT160" s="143"/>
      <c r="AU160" s="142" t="s">
        <v>697</v>
      </c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0">
        <f>'Výkaz výměr'!F169</f>
        <v>68.2125</v>
      </c>
      <c r="CL160" s="141"/>
      <c r="CM160" s="141"/>
      <c r="CN160" s="141"/>
      <c r="CO160" s="141"/>
      <c r="CP160" s="140">
        <f>'Výkaz výměr'!G169</f>
        <v>0</v>
      </c>
      <c r="CQ160" s="141"/>
      <c r="CR160" s="141"/>
      <c r="CS160" s="141"/>
      <c r="CT160" s="141"/>
      <c r="CU160" s="141"/>
      <c r="CV160" s="141"/>
      <c r="CW160" s="141"/>
      <c r="CX160" s="140">
        <f t="shared" si="32"/>
        <v>0</v>
      </c>
      <c r="CY160" s="141"/>
      <c r="CZ160" s="141"/>
      <c r="DA160" s="141"/>
      <c r="DB160" s="141"/>
      <c r="DC160" s="141"/>
      <c r="DD160" s="141"/>
      <c r="DE160" s="141"/>
      <c r="DF160" s="140">
        <f t="shared" si="33"/>
        <v>0</v>
      </c>
      <c r="DG160" s="141"/>
      <c r="DH160" s="141"/>
      <c r="DI160" s="141"/>
      <c r="DJ160" s="141"/>
      <c r="DK160" s="141"/>
      <c r="DL160" s="141"/>
      <c r="DM160" s="141"/>
      <c r="DN160" s="140">
        <f t="shared" si="34"/>
        <v>0</v>
      </c>
      <c r="DO160" s="141"/>
      <c r="DP160" s="141"/>
      <c r="DQ160" s="141"/>
      <c r="DR160" s="141"/>
      <c r="DS160" s="141"/>
      <c r="DT160" s="141"/>
      <c r="DU160" s="141"/>
      <c r="DV160" s="140">
        <f>'Výkaz výměr'!L169</f>
        <v>2.5</v>
      </c>
      <c r="DW160" s="141"/>
      <c r="DX160" s="141"/>
      <c r="DY160" s="141"/>
      <c r="DZ160" s="141"/>
      <c r="EA160" s="141"/>
      <c r="EB160" s="141"/>
      <c r="EC160" s="141"/>
      <c r="ED160" s="140">
        <f t="shared" si="35"/>
        <v>170.53125</v>
      </c>
      <c r="EE160" s="141"/>
      <c r="EF160" s="141"/>
      <c r="EG160" s="141"/>
      <c r="EH160" s="141"/>
      <c r="EI160" s="141"/>
      <c r="EJ160" s="141"/>
      <c r="EK160" s="141"/>
      <c r="EL160" s="142" t="s">
        <v>559</v>
      </c>
      <c r="EM160" s="143"/>
      <c r="EN160" s="143"/>
      <c r="EO160" s="143"/>
      <c r="EP160" s="143"/>
      <c r="EQ160" s="143"/>
      <c r="IR160" s="43">
        <f>CP160*0.789351648351648</f>
        <v>0</v>
      </c>
      <c r="IS160" s="43">
        <f>CP160*(1-0.789351648351648)</f>
        <v>0</v>
      </c>
    </row>
    <row r="161" spans="1:253" ht="12.75">
      <c r="A161" s="142" t="s">
        <v>139</v>
      </c>
      <c r="B161" s="143"/>
      <c r="C161" s="142" t="s">
        <v>199</v>
      </c>
      <c r="D161" s="143"/>
      <c r="E161" s="143"/>
      <c r="F161" s="142" t="s">
        <v>257</v>
      </c>
      <c r="G161" s="143"/>
      <c r="H161" s="143"/>
      <c r="I161" s="143"/>
      <c r="J161" s="143"/>
      <c r="K161" s="143"/>
      <c r="L161" s="142" t="s">
        <v>410</v>
      </c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2" t="s">
        <v>530</v>
      </c>
      <c r="AT161" s="143"/>
      <c r="AU161" s="142" t="s">
        <v>698</v>
      </c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0">
        <f>'Výkaz výměr'!F170</f>
        <v>147.339</v>
      </c>
      <c r="CL161" s="141"/>
      <c r="CM161" s="141"/>
      <c r="CN161" s="141"/>
      <c r="CO161" s="141"/>
      <c r="CP161" s="140">
        <f>'Výkaz výměr'!G170</f>
        <v>0</v>
      </c>
      <c r="CQ161" s="141"/>
      <c r="CR161" s="141"/>
      <c r="CS161" s="141"/>
      <c r="CT161" s="141"/>
      <c r="CU161" s="141"/>
      <c r="CV161" s="141"/>
      <c r="CW161" s="141"/>
      <c r="CX161" s="140">
        <f t="shared" si="32"/>
        <v>0</v>
      </c>
      <c r="CY161" s="141"/>
      <c r="CZ161" s="141"/>
      <c r="DA161" s="141"/>
      <c r="DB161" s="141"/>
      <c r="DC161" s="141"/>
      <c r="DD161" s="141"/>
      <c r="DE161" s="141"/>
      <c r="DF161" s="140">
        <f t="shared" si="33"/>
        <v>0</v>
      </c>
      <c r="DG161" s="141"/>
      <c r="DH161" s="141"/>
      <c r="DI161" s="141"/>
      <c r="DJ161" s="141"/>
      <c r="DK161" s="141"/>
      <c r="DL161" s="141"/>
      <c r="DM161" s="141"/>
      <c r="DN161" s="140">
        <f t="shared" si="34"/>
        <v>0</v>
      </c>
      <c r="DO161" s="141"/>
      <c r="DP161" s="141"/>
      <c r="DQ161" s="141"/>
      <c r="DR161" s="141"/>
      <c r="DS161" s="141"/>
      <c r="DT161" s="141"/>
      <c r="DU161" s="141"/>
      <c r="DV161" s="140">
        <f>'Výkaz výměr'!L170</f>
        <v>1.7</v>
      </c>
      <c r="DW161" s="141"/>
      <c r="DX161" s="141"/>
      <c r="DY161" s="141"/>
      <c r="DZ161" s="141"/>
      <c r="EA161" s="141"/>
      <c r="EB161" s="141"/>
      <c r="EC161" s="141"/>
      <c r="ED161" s="140">
        <f t="shared" si="35"/>
        <v>250.47629999999998</v>
      </c>
      <c r="EE161" s="141"/>
      <c r="EF161" s="141"/>
      <c r="EG161" s="141"/>
      <c r="EH161" s="141"/>
      <c r="EI161" s="141"/>
      <c r="EJ161" s="141"/>
      <c r="EK161" s="141"/>
      <c r="EL161" s="142" t="s">
        <v>559</v>
      </c>
      <c r="EM161" s="143"/>
      <c r="EN161" s="143"/>
      <c r="EO161" s="143"/>
      <c r="EP161" s="143"/>
      <c r="EQ161" s="143"/>
      <c r="IR161" s="43">
        <f>CP161*0.481870437956204</f>
        <v>0</v>
      </c>
      <c r="IS161" s="43">
        <f>CP161*(1-0.481870437956204)</f>
        <v>0</v>
      </c>
    </row>
    <row r="162" spans="1:253" ht="12.75">
      <c r="A162" s="142" t="s">
        <v>140</v>
      </c>
      <c r="B162" s="143"/>
      <c r="C162" s="142" t="s">
        <v>199</v>
      </c>
      <c r="D162" s="143"/>
      <c r="E162" s="143"/>
      <c r="F162" s="142" t="s">
        <v>258</v>
      </c>
      <c r="G162" s="143"/>
      <c r="H162" s="143"/>
      <c r="I162" s="143"/>
      <c r="J162" s="143"/>
      <c r="K162" s="143"/>
      <c r="L162" s="142" t="s">
        <v>412</v>
      </c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2" t="s">
        <v>530</v>
      </c>
      <c r="AT162" s="143"/>
      <c r="AU162" s="142" t="s">
        <v>699</v>
      </c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0">
        <f>'Výkaz výměr'!F172</f>
        <v>423.06</v>
      </c>
      <c r="CL162" s="141"/>
      <c r="CM162" s="141"/>
      <c r="CN162" s="141"/>
      <c r="CO162" s="141"/>
      <c r="CP162" s="140">
        <f>'Výkaz výměr'!G172</f>
        <v>0</v>
      </c>
      <c r="CQ162" s="141"/>
      <c r="CR162" s="141"/>
      <c r="CS162" s="141"/>
      <c r="CT162" s="141"/>
      <c r="CU162" s="141"/>
      <c r="CV162" s="141"/>
      <c r="CW162" s="141"/>
      <c r="CX162" s="140">
        <f t="shared" si="32"/>
        <v>0</v>
      </c>
      <c r="CY162" s="141"/>
      <c r="CZ162" s="141"/>
      <c r="DA162" s="141"/>
      <c r="DB162" s="141"/>
      <c r="DC162" s="141"/>
      <c r="DD162" s="141"/>
      <c r="DE162" s="141"/>
      <c r="DF162" s="140">
        <f t="shared" si="33"/>
        <v>0</v>
      </c>
      <c r="DG162" s="141"/>
      <c r="DH162" s="141"/>
      <c r="DI162" s="141"/>
      <c r="DJ162" s="141"/>
      <c r="DK162" s="141"/>
      <c r="DL162" s="141"/>
      <c r="DM162" s="141"/>
      <c r="DN162" s="140">
        <f t="shared" si="34"/>
        <v>0</v>
      </c>
      <c r="DO162" s="141"/>
      <c r="DP162" s="141"/>
      <c r="DQ162" s="141"/>
      <c r="DR162" s="141"/>
      <c r="DS162" s="141"/>
      <c r="DT162" s="141"/>
      <c r="DU162" s="141"/>
      <c r="DV162" s="140">
        <f>'Výkaz výměr'!L172</f>
        <v>0</v>
      </c>
      <c r="DW162" s="141"/>
      <c r="DX162" s="141"/>
      <c r="DY162" s="141"/>
      <c r="DZ162" s="141"/>
      <c r="EA162" s="141"/>
      <c r="EB162" s="141"/>
      <c r="EC162" s="141"/>
      <c r="ED162" s="140">
        <f t="shared" si="35"/>
        <v>0</v>
      </c>
      <c r="EE162" s="141"/>
      <c r="EF162" s="141"/>
      <c r="EG162" s="141"/>
      <c r="EH162" s="141"/>
      <c r="EI162" s="141"/>
      <c r="EJ162" s="141"/>
      <c r="EK162" s="141"/>
      <c r="EL162" s="142" t="s">
        <v>559</v>
      </c>
      <c r="EM162" s="143"/>
      <c r="EN162" s="143"/>
      <c r="EO162" s="143"/>
      <c r="EP162" s="143"/>
      <c r="EQ162" s="143"/>
      <c r="IR162" s="43">
        <f>CP162*0</f>
        <v>0</v>
      </c>
      <c r="IS162" s="43">
        <f>CP162*(1-0)</f>
        <v>0</v>
      </c>
    </row>
    <row r="163" spans="1:253" ht="12.75">
      <c r="A163" s="132" t="s">
        <v>141</v>
      </c>
      <c r="B163" s="133"/>
      <c r="C163" s="132" t="s">
        <v>199</v>
      </c>
      <c r="D163" s="133"/>
      <c r="E163" s="133"/>
      <c r="F163" s="132" t="s">
        <v>259</v>
      </c>
      <c r="G163" s="133"/>
      <c r="H163" s="133"/>
      <c r="I163" s="133"/>
      <c r="J163" s="133"/>
      <c r="K163" s="133"/>
      <c r="L163" s="132" t="s">
        <v>413</v>
      </c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2" t="s">
        <v>529</v>
      </c>
      <c r="AT163" s="133"/>
      <c r="AU163" s="132" t="s">
        <v>700</v>
      </c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0">
        <f>'Výkaz výměr'!F173</f>
        <v>719.202</v>
      </c>
      <c r="CL163" s="131"/>
      <c r="CM163" s="131"/>
      <c r="CN163" s="131"/>
      <c r="CO163" s="131"/>
      <c r="CP163" s="130">
        <f>'Výkaz výměr'!G173</f>
        <v>0</v>
      </c>
      <c r="CQ163" s="131"/>
      <c r="CR163" s="131"/>
      <c r="CS163" s="131"/>
      <c r="CT163" s="131"/>
      <c r="CU163" s="131"/>
      <c r="CV163" s="131"/>
      <c r="CW163" s="131"/>
      <c r="CX163" s="130">
        <f t="shared" si="32"/>
        <v>0</v>
      </c>
      <c r="CY163" s="131"/>
      <c r="CZ163" s="131"/>
      <c r="DA163" s="131"/>
      <c r="DB163" s="131"/>
      <c r="DC163" s="131"/>
      <c r="DD163" s="131"/>
      <c r="DE163" s="131"/>
      <c r="DF163" s="130">
        <f t="shared" si="33"/>
        <v>0</v>
      </c>
      <c r="DG163" s="131"/>
      <c r="DH163" s="131"/>
      <c r="DI163" s="131"/>
      <c r="DJ163" s="131"/>
      <c r="DK163" s="131"/>
      <c r="DL163" s="131"/>
      <c r="DM163" s="131"/>
      <c r="DN163" s="130">
        <f t="shared" si="34"/>
        <v>0</v>
      </c>
      <c r="DO163" s="131"/>
      <c r="DP163" s="131"/>
      <c r="DQ163" s="131"/>
      <c r="DR163" s="131"/>
      <c r="DS163" s="131"/>
      <c r="DT163" s="131"/>
      <c r="DU163" s="131"/>
      <c r="DV163" s="130">
        <f>'Výkaz výměr'!L173</f>
        <v>1</v>
      </c>
      <c r="DW163" s="131"/>
      <c r="DX163" s="131"/>
      <c r="DY163" s="131"/>
      <c r="DZ163" s="131"/>
      <c r="EA163" s="131"/>
      <c r="EB163" s="131"/>
      <c r="EC163" s="131"/>
      <c r="ED163" s="130">
        <f t="shared" si="35"/>
        <v>719.202</v>
      </c>
      <c r="EE163" s="131"/>
      <c r="EF163" s="131"/>
      <c r="EG163" s="131"/>
      <c r="EH163" s="131"/>
      <c r="EI163" s="131"/>
      <c r="EJ163" s="131"/>
      <c r="EK163" s="131"/>
      <c r="EL163" s="132" t="s">
        <v>559</v>
      </c>
      <c r="EM163" s="133"/>
      <c r="EN163" s="133"/>
      <c r="EO163" s="133"/>
      <c r="EP163" s="133"/>
      <c r="EQ163" s="133"/>
      <c r="IR163" s="42">
        <f>CP163*1</f>
        <v>0</v>
      </c>
      <c r="IS163" s="42">
        <f>CP163*(1-1)</f>
        <v>0</v>
      </c>
    </row>
    <row r="164" spans="1:253" ht="12.75">
      <c r="A164" s="142" t="s">
        <v>142</v>
      </c>
      <c r="B164" s="143"/>
      <c r="C164" s="142" t="s">
        <v>199</v>
      </c>
      <c r="D164" s="143"/>
      <c r="E164" s="143"/>
      <c r="F164" s="142" t="s">
        <v>260</v>
      </c>
      <c r="G164" s="143"/>
      <c r="H164" s="143"/>
      <c r="I164" s="143"/>
      <c r="J164" s="143"/>
      <c r="K164" s="143"/>
      <c r="L164" s="142" t="s">
        <v>414</v>
      </c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2" t="s">
        <v>530</v>
      </c>
      <c r="AT164" s="143"/>
      <c r="AU164" s="142" t="s">
        <v>701</v>
      </c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  <c r="CI164" s="143"/>
      <c r="CJ164" s="143"/>
      <c r="CK164" s="140">
        <f>'Výkaz výměr'!F174</f>
        <v>18.15</v>
      </c>
      <c r="CL164" s="141"/>
      <c r="CM164" s="141"/>
      <c r="CN164" s="141"/>
      <c r="CO164" s="141"/>
      <c r="CP164" s="140">
        <f>'Výkaz výměr'!G174</f>
        <v>0</v>
      </c>
      <c r="CQ164" s="141"/>
      <c r="CR164" s="141"/>
      <c r="CS164" s="141"/>
      <c r="CT164" s="141"/>
      <c r="CU164" s="141"/>
      <c r="CV164" s="141"/>
      <c r="CW164" s="141"/>
      <c r="CX164" s="140">
        <f t="shared" si="32"/>
        <v>0</v>
      </c>
      <c r="CY164" s="141"/>
      <c r="CZ164" s="141"/>
      <c r="DA164" s="141"/>
      <c r="DB164" s="141"/>
      <c r="DC164" s="141"/>
      <c r="DD164" s="141"/>
      <c r="DE164" s="141"/>
      <c r="DF164" s="140">
        <f t="shared" si="33"/>
        <v>0</v>
      </c>
      <c r="DG164" s="141"/>
      <c r="DH164" s="141"/>
      <c r="DI164" s="141"/>
      <c r="DJ164" s="141"/>
      <c r="DK164" s="141"/>
      <c r="DL164" s="141"/>
      <c r="DM164" s="141"/>
      <c r="DN164" s="140">
        <f t="shared" si="34"/>
        <v>0</v>
      </c>
      <c r="DO164" s="141"/>
      <c r="DP164" s="141"/>
      <c r="DQ164" s="141"/>
      <c r="DR164" s="141"/>
      <c r="DS164" s="141"/>
      <c r="DT164" s="141"/>
      <c r="DU164" s="141"/>
      <c r="DV164" s="140">
        <f>'Výkaz výměr'!L174</f>
        <v>0</v>
      </c>
      <c r="DW164" s="141"/>
      <c r="DX164" s="141"/>
      <c r="DY164" s="141"/>
      <c r="DZ164" s="141"/>
      <c r="EA164" s="141"/>
      <c r="EB164" s="141"/>
      <c r="EC164" s="141"/>
      <c r="ED164" s="140">
        <f t="shared" si="35"/>
        <v>0</v>
      </c>
      <c r="EE164" s="141"/>
      <c r="EF164" s="141"/>
      <c r="EG164" s="141"/>
      <c r="EH164" s="141"/>
      <c r="EI164" s="141"/>
      <c r="EJ164" s="141"/>
      <c r="EK164" s="141"/>
      <c r="EL164" s="142" t="s">
        <v>559</v>
      </c>
      <c r="EM164" s="143"/>
      <c r="EN164" s="143"/>
      <c r="EO164" s="143"/>
      <c r="EP164" s="143"/>
      <c r="EQ164" s="143"/>
      <c r="IR164" s="43">
        <f>CP164*0</f>
        <v>0</v>
      </c>
      <c r="IS164" s="43">
        <f>CP164*(1-0)</f>
        <v>0</v>
      </c>
    </row>
    <row r="165" spans="1:253" ht="12.75">
      <c r="A165" s="132" t="s">
        <v>143</v>
      </c>
      <c r="B165" s="133"/>
      <c r="C165" s="132" t="s">
        <v>199</v>
      </c>
      <c r="D165" s="133"/>
      <c r="E165" s="133"/>
      <c r="F165" s="132" t="s">
        <v>295</v>
      </c>
      <c r="G165" s="133"/>
      <c r="H165" s="133"/>
      <c r="I165" s="133"/>
      <c r="J165" s="133"/>
      <c r="K165" s="133"/>
      <c r="L165" s="132" t="s">
        <v>458</v>
      </c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2" t="s">
        <v>534</v>
      </c>
      <c r="AT165" s="133"/>
      <c r="AU165" s="132" t="s">
        <v>702</v>
      </c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0">
        <f>'Výkaz výměr'!F175</f>
        <v>3</v>
      </c>
      <c r="CL165" s="131"/>
      <c r="CM165" s="131"/>
      <c r="CN165" s="131"/>
      <c r="CO165" s="131"/>
      <c r="CP165" s="130">
        <f>'Výkaz výměr'!G175</f>
        <v>0</v>
      </c>
      <c r="CQ165" s="131"/>
      <c r="CR165" s="131"/>
      <c r="CS165" s="131"/>
      <c r="CT165" s="131"/>
      <c r="CU165" s="131"/>
      <c r="CV165" s="131"/>
      <c r="CW165" s="131"/>
      <c r="CX165" s="130">
        <f t="shared" si="32"/>
        <v>0</v>
      </c>
      <c r="CY165" s="131"/>
      <c r="CZ165" s="131"/>
      <c r="DA165" s="131"/>
      <c r="DB165" s="131"/>
      <c r="DC165" s="131"/>
      <c r="DD165" s="131"/>
      <c r="DE165" s="131"/>
      <c r="DF165" s="130">
        <f t="shared" si="33"/>
        <v>0</v>
      </c>
      <c r="DG165" s="131"/>
      <c r="DH165" s="131"/>
      <c r="DI165" s="131"/>
      <c r="DJ165" s="131"/>
      <c r="DK165" s="131"/>
      <c r="DL165" s="131"/>
      <c r="DM165" s="131"/>
      <c r="DN165" s="130">
        <f t="shared" si="34"/>
        <v>0</v>
      </c>
      <c r="DO165" s="131"/>
      <c r="DP165" s="131"/>
      <c r="DQ165" s="131"/>
      <c r="DR165" s="131"/>
      <c r="DS165" s="131"/>
      <c r="DT165" s="131"/>
      <c r="DU165" s="131"/>
      <c r="DV165" s="130">
        <f>'Výkaz výměr'!L175</f>
        <v>0.145</v>
      </c>
      <c r="DW165" s="131"/>
      <c r="DX165" s="131"/>
      <c r="DY165" s="131"/>
      <c r="DZ165" s="131"/>
      <c r="EA165" s="131"/>
      <c r="EB165" s="131"/>
      <c r="EC165" s="131"/>
      <c r="ED165" s="130">
        <f t="shared" si="35"/>
        <v>0.43499999999999994</v>
      </c>
      <c r="EE165" s="131"/>
      <c r="EF165" s="131"/>
      <c r="EG165" s="131"/>
      <c r="EH165" s="131"/>
      <c r="EI165" s="131"/>
      <c r="EJ165" s="131"/>
      <c r="EK165" s="131"/>
      <c r="EL165" s="132" t="s">
        <v>559</v>
      </c>
      <c r="EM165" s="133"/>
      <c r="EN165" s="133"/>
      <c r="EO165" s="133"/>
      <c r="EP165" s="133"/>
      <c r="EQ165" s="133"/>
      <c r="IR165" s="42">
        <f>CP165*1</f>
        <v>0</v>
      </c>
      <c r="IS165" s="42">
        <f>CP165*(1-1)</f>
        <v>0</v>
      </c>
    </row>
    <row r="166" spans="1:253" ht="12.75">
      <c r="A166" s="132" t="s">
        <v>144</v>
      </c>
      <c r="B166" s="133"/>
      <c r="C166" s="132" t="s">
        <v>199</v>
      </c>
      <c r="D166" s="133"/>
      <c r="E166" s="133"/>
      <c r="F166" s="132" t="s">
        <v>296</v>
      </c>
      <c r="G166" s="133"/>
      <c r="H166" s="133"/>
      <c r="I166" s="133"/>
      <c r="J166" s="133"/>
      <c r="K166" s="133"/>
      <c r="L166" s="132" t="s">
        <v>459</v>
      </c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2" t="s">
        <v>534</v>
      </c>
      <c r="AT166" s="133"/>
      <c r="AU166" s="132" t="s">
        <v>703</v>
      </c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0">
        <f>'Výkaz výměr'!F176</f>
        <v>9</v>
      </c>
      <c r="CL166" s="131"/>
      <c r="CM166" s="131"/>
      <c r="CN166" s="131"/>
      <c r="CO166" s="131"/>
      <c r="CP166" s="130">
        <f>'Výkaz výměr'!G176</f>
        <v>0</v>
      </c>
      <c r="CQ166" s="131"/>
      <c r="CR166" s="131"/>
      <c r="CS166" s="131"/>
      <c r="CT166" s="131"/>
      <c r="CU166" s="131"/>
      <c r="CV166" s="131"/>
      <c r="CW166" s="131"/>
      <c r="CX166" s="130">
        <f t="shared" si="32"/>
        <v>0</v>
      </c>
      <c r="CY166" s="131"/>
      <c r="CZ166" s="131"/>
      <c r="DA166" s="131"/>
      <c r="DB166" s="131"/>
      <c r="DC166" s="131"/>
      <c r="DD166" s="131"/>
      <c r="DE166" s="131"/>
      <c r="DF166" s="130">
        <f t="shared" si="33"/>
        <v>0</v>
      </c>
      <c r="DG166" s="131"/>
      <c r="DH166" s="131"/>
      <c r="DI166" s="131"/>
      <c r="DJ166" s="131"/>
      <c r="DK166" s="131"/>
      <c r="DL166" s="131"/>
      <c r="DM166" s="131"/>
      <c r="DN166" s="130">
        <f t="shared" si="34"/>
        <v>0</v>
      </c>
      <c r="DO166" s="131"/>
      <c r="DP166" s="131"/>
      <c r="DQ166" s="131"/>
      <c r="DR166" s="131"/>
      <c r="DS166" s="131"/>
      <c r="DT166" s="131"/>
      <c r="DU166" s="131"/>
      <c r="DV166" s="130">
        <f>'Výkaz výměr'!L176</f>
        <v>0.172</v>
      </c>
      <c r="DW166" s="131"/>
      <c r="DX166" s="131"/>
      <c r="DY166" s="131"/>
      <c r="DZ166" s="131"/>
      <c r="EA166" s="131"/>
      <c r="EB166" s="131"/>
      <c r="EC166" s="131"/>
      <c r="ED166" s="130">
        <f t="shared" si="35"/>
        <v>1.5479999999999998</v>
      </c>
      <c r="EE166" s="131"/>
      <c r="EF166" s="131"/>
      <c r="EG166" s="131"/>
      <c r="EH166" s="131"/>
      <c r="EI166" s="131"/>
      <c r="EJ166" s="131"/>
      <c r="EK166" s="131"/>
      <c r="EL166" s="132" t="s">
        <v>559</v>
      </c>
      <c r="EM166" s="133"/>
      <c r="EN166" s="133"/>
      <c r="EO166" s="133"/>
      <c r="EP166" s="133"/>
      <c r="EQ166" s="133"/>
      <c r="IR166" s="42">
        <f>CP166*1</f>
        <v>0</v>
      </c>
      <c r="IS166" s="42">
        <f>CP166*(1-1)</f>
        <v>0</v>
      </c>
    </row>
    <row r="167" spans="1:253" ht="12.75">
      <c r="A167" s="142" t="s">
        <v>145</v>
      </c>
      <c r="B167" s="143"/>
      <c r="C167" s="142" t="s">
        <v>199</v>
      </c>
      <c r="D167" s="143"/>
      <c r="E167" s="143"/>
      <c r="F167" s="142" t="s">
        <v>297</v>
      </c>
      <c r="G167" s="143"/>
      <c r="H167" s="143"/>
      <c r="I167" s="143"/>
      <c r="J167" s="143"/>
      <c r="K167" s="143"/>
      <c r="L167" s="142" t="s">
        <v>460</v>
      </c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2" t="s">
        <v>534</v>
      </c>
      <c r="AT167" s="143"/>
      <c r="AU167" s="142" t="s">
        <v>704</v>
      </c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0">
        <f>'Výkaz výměr'!F177</f>
        <v>12</v>
      </c>
      <c r="CL167" s="141"/>
      <c r="CM167" s="141"/>
      <c r="CN167" s="141"/>
      <c r="CO167" s="141"/>
      <c r="CP167" s="140">
        <f>'Výkaz výměr'!G177</f>
        <v>0</v>
      </c>
      <c r="CQ167" s="141"/>
      <c r="CR167" s="141"/>
      <c r="CS167" s="141"/>
      <c r="CT167" s="141"/>
      <c r="CU167" s="141"/>
      <c r="CV167" s="141"/>
      <c r="CW167" s="141"/>
      <c r="CX167" s="140">
        <f t="shared" si="32"/>
        <v>0</v>
      </c>
      <c r="CY167" s="141"/>
      <c r="CZ167" s="141"/>
      <c r="DA167" s="141"/>
      <c r="DB167" s="141"/>
      <c r="DC167" s="141"/>
      <c r="DD167" s="141"/>
      <c r="DE167" s="141"/>
      <c r="DF167" s="140">
        <f t="shared" si="33"/>
        <v>0</v>
      </c>
      <c r="DG167" s="141"/>
      <c r="DH167" s="141"/>
      <c r="DI167" s="141"/>
      <c r="DJ167" s="141"/>
      <c r="DK167" s="141"/>
      <c r="DL167" s="141"/>
      <c r="DM167" s="141"/>
      <c r="DN167" s="140">
        <f t="shared" si="34"/>
        <v>0</v>
      </c>
      <c r="DO167" s="141"/>
      <c r="DP167" s="141"/>
      <c r="DQ167" s="141"/>
      <c r="DR167" s="141"/>
      <c r="DS167" s="141"/>
      <c r="DT167" s="141"/>
      <c r="DU167" s="141"/>
      <c r="DV167" s="140">
        <f>'Výkaz výměr'!L177</f>
        <v>0.14726</v>
      </c>
      <c r="DW167" s="141"/>
      <c r="DX167" s="141"/>
      <c r="DY167" s="141"/>
      <c r="DZ167" s="141"/>
      <c r="EA167" s="141"/>
      <c r="EB167" s="141"/>
      <c r="EC167" s="141"/>
      <c r="ED167" s="140">
        <f t="shared" si="35"/>
        <v>1.76712</v>
      </c>
      <c r="EE167" s="141"/>
      <c r="EF167" s="141"/>
      <c r="EG167" s="141"/>
      <c r="EH167" s="141"/>
      <c r="EI167" s="141"/>
      <c r="EJ167" s="141"/>
      <c r="EK167" s="141"/>
      <c r="EL167" s="142" t="s">
        <v>559</v>
      </c>
      <c r="EM167" s="143"/>
      <c r="EN167" s="143"/>
      <c r="EO167" s="143"/>
      <c r="EP167" s="143"/>
      <c r="EQ167" s="143"/>
      <c r="IR167" s="43">
        <f>CP167*0.858650041655945</f>
        <v>0</v>
      </c>
      <c r="IS167" s="43">
        <f>CP167*(1-0.858650041655945)</f>
        <v>0</v>
      </c>
    </row>
    <row r="168" spans="1:253" ht="12.75">
      <c r="A168" s="132" t="s">
        <v>146</v>
      </c>
      <c r="B168" s="133"/>
      <c r="C168" s="132" t="s">
        <v>199</v>
      </c>
      <c r="D168" s="133"/>
      <c r="E168" s="133"/>
      <c r="F168" s="132" t="s">
        <v>298</v>
      </c>
      <c r="G168" s="133"/>
      <c r="H168" s="133"/>
      <c r="I168" s="133"/>
      <c r="J168" s="133"/>
      <c r="K168" s="133"/>
      <c r="L168" s="132" t="s">
        <v>461</v>
      </c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2" t="s">
        <v>534</v>
      </c>
      <c r="AT168" s="133"/>
      <c r="AU168" s="132" t="s">
        <v>705</v>
      </c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0">
        <f>'Výkaz výměr'!F178</f>
        <v>8</v>
      </c>
      <c r="CL168" s="131"/>
      <c r="CM168" s="131"/>
      <c r="CN168" s="131"/>
      <c r="CO168" s="131"/>
      <c r="CP168" s="130">
        <f>'Výkaz výměr'!G178</f>
        <v>0</v>
      </c>
      <c r="CQ168" s="131"/>
      <c r="CR168" s="131"/>
      <c r="CS168" s="131"/>
      <c r="CT168" s="131"/>
      <c r="CU168" s="131"/>
      <c r="CV168" s="131"/>
      <c r="CW168" s="131"/>
      <c r="CX168" s="130">
        <f t="shared" si="32"/>
        <v>0</v>
      </c>
      <c r="CY168" s="131"/>
      <c r="CZ168" s="131"/>
      <c r="DA168" s="131"/>
      <c r="DB168" s="131"/>
      <c r="DC168" s="131"/>
      <c r="DD168" s="131"/>
      <c r="DE168" s="131"/>
      <c r="DF168" s="130">
        <f t="shared" si="33"/>
        <v>0</v>
      </c>
      <c r="DG168" s="131"/>
      <c r="DH168" s="131"/>
      <c r="DI168" s="131"/>
      <c r="DJ168" s="131"/>
      <c r="DK168" s="131"/>
      <c r="DL168" s="131"/>
      <c r="DM168" s="131"/>
      <c r="DN168" s="130">
        <f t="shared" si="34"/>
        <v>0</v>
      </c>
      <c r="DO168" s="131"/>
      <c r="DP168" s="131"/>
      <c r="DQ168" s="131"/>
      <c r="DR168" s="131"/>
      <c r="DS168" s="131"/>
      <c r="DT168" s="131"/>
      <c r="DU168" s="131"/>
      <c r="DV168" s="130">
        <f>'Výkaz výměr'!L178</f>
        <v>0.086</v>
      </c>
      <c r="DW168" s="131"/>
      <c r="DX168" s="131"/>
      <c r="DY168" s="131"/>
      <c r="DZ168" s="131"/>
      <c r="EA168" s="131"/>
      <c r="EB168" s="131"/>
      <c r="EC168" s="131"/>
      <c r="ED168" s="130">
        <f t="shared" si="35"/>
        <v>0.688</v>
      </c>
      <c r="EE168" s="131"/>
      <c r="EF168" s="131"/>
      <c r="EG168" s="131"/>
      <c r="EH168" s="131"/>
      <c r="EI168" s="131"/>
      <c r="EJ168" s="131"/>
      <c r="EK168" s="131"/>
      <c r="EL168" s="132" t="s">
        <v>559</v>
      </c>
      <c r="EM168" s="133"/>
      <c r="EN168" s="133"/>
      <c r="EO168" s="133"/>
      <c r="EP168" s="133"/>
      <c r="EQ168" s="133"/>
      <c r="IR168" s="42">
        <f>CP168*1</f>
        <v>0</v>
      </c>
      <c r="IS168" s="42">
        <f>CP168*(1-1)</f>
        <v>0</v>
      </c>
    </row>
    <row r="169" spans="1:253" ht="12.75">
      <c r="A169" s="132" t="s">
        <v>147</v>
      </c>
      <c r="B169" s="133"/>
      <c r="C169" s="132" t="s">
        <v>199</v>
      </c>
      <c r="D169" s="133"/>
      <c r="E169" s="133"/>
      <c r="F169" s="132" t="s">
        <v>299</v>
      </c>
      <c r="G169" s="133"/>
      <c r="H169" s="133"/>
      <c r="I169" s="133"/>
      <c r="J169" s="133"/>
      <c r="K169" s="133"/>
      <c r="L169" s="132" t="s">
        <v>462</v>
      </c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2" t="s">
        <v>534</v>
      </c>
      <c r="AT169" s="133"/>
      <c r="AU169" s="132" t="s">
        <v>706</v>
      </c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0">
        <f>'Výkaz výměr'!F179</f>
        <v>15</v>
      </c>
      <c r="CL169" s="131"/>
      <c r="CM169" s="131"/>
      <c r="CN169" s="131"/>
      <c r="CO169" s="131"/>
      <c r="CP169" s="130">
        <f>'Výkaz výměr'!G179</f>
        <v>0</v>
      </c>
      <c r="CQ169" s="131"/>
      <c r="CR169" s="131"/>
      <c r="CS169" s="131"/>
      <c r="CT169" s="131"/>
      <c r="CU169" s="131"/>
      <c r="CV169" s="131"/>
      <c r="CW169" s="131"/>
      <c r="CX169" s="130">
        <f t="shared" si="32"/>
        <v>0</v>
      </c>
      <c r="CY169" s="131"/>
      <c r="CZ169" s="131"/>
      <c r="DA169" s="131"/>
      <c r="DB169" s="131"/>
      <c r="DC169" s="131"/>
      <c r="DD169" s="131"/>
      <c r="DE169" s="131"/>
      <c r="DF169" s="130">
        <f t="shared" si="33"/>
        <v>0</v>
      </c>
      <c r="DG169" s="131"/>
      <c r="DH169" s="131"/>
      <c r="DI169" s="131"/>
      <c r="DJ169" s="131"/>
      <c r="DK169" s="131"/>
      <c r="DL169" s="131"/>
      <c r="DM169" s="131"/>
      <c r="DN169" s="130">
        <f t="shared" si="34"/>
        <v>0</v>
      </c>
      <c r="DO169" s="131"/>
      <c r="DP169" s="131"/>
      <c r="DQ169" s="131"/>
      <c r="DR169" s="131"/>
      <c r="DS169" s="131"/>
      <c r="DT169" s="131"/>
      <c r="DU169" s="131"/>
      <c r="DV169" s="130">
        <f>'Výkaz výměr'!L179</f>
        <v>0.073</v>
      </c>
      <c r="DW169" s="131"/>
      <c r="DX169" s="131"/>
      <c r="DY169" s="131"/>
      <c r="DZ169" s="131"/>
      <c r="EA169" s="131"/>
      <c r="EB169" s="131"/>
      <c r="EC169" s="131"/>
      <c r="ED169" s="130">
        <f t="shared" si="35"/>
        <v>1.095</v>
      </c>
      <c r="EE169" s="131"/>
      <c r="EF169" s="131"/>
      <c r="EG169" s="131"/>
      <c r="EH169" s="131"/>
      <c r="EI169" s="131"/>
      <c r="EJ169" s="131"/>
      <c r="EK169" s="131"/>
      <c r="EL169" s="132" t="s">
        <v>559</v>
      </c>
      <c r="EM169" s="133"/>
      <c r="EN169" s="133"/>
      <c r="EO169" s="133"/>
      <c r="EP169" s="133"/>
      <c r="EQ169" s="133"/>
      <c r="IR169" s="42">
        <f>CP169*1</f>
        <v>0</v>
      </c>
      <c r="IS169" s="42">
        <f>CP169*(1-1)</f>
        <v>0</v>
      </c>
    </row>
    <row r="170" spans="1:253" ht="12.75">
      <c r="A170" s="142" t="s">
        <v>148</v>
      </c>
      <c r="B170" s="143"/>
      <c r="C170" s="142" t="s">
        <v>199</v>
      </c>
      <c r="D170" s="143"/>
      <c r="E170" s="143"/>
      <c r="F170" s="142" t="s">
        <v>300</v>
      </c>
      <c r="G170" s="143"/>
      <c r="H170" s="143"/>
      <c r="I170" s="143"/>
      <c r="J170" s="143"/>
      <c r="K170" s="143"/>
      <c r="L170" s="142" t="s">
        <v>463</v>
      </c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2" t="s">
        <v>534</v>
      </c>
      <c r="AT170" s="143"/>
      <c r="AU170" s="142" t="s">
        <v>707</v>
      </c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0">
        <f>'Výkaz výměr'!F180</f>
        <v>23</v>
      </c>
      <c r="CL170" s="141"/>
      <c r="CM170" s="141"/>
      <c r="CN170" s="141"/>
      <c r="CO170" s="141"/>
      <c r="CP170" s="140">
        <f>'Výkaz výměr'!G180</f>
        <v>0</v>
      </c>
      <c r="CQ170" s="141"/>
      <c r="CR170" s="141"/>
      <c r="CS170" s="141"/>
      <c r="CT170" s="141"/>
      <c r="CU170" s="141"/>
      <c r="CV170" s="141"/>
      <c r="CW170" s="141"/>
      <c r="CX170" s="140">
        <f t="shared" si="32"/>
        <v>0</v>
      </c>
      <c r="CY170" s="141"/>
      <c r="CZ170" s="141"/>
      <c r="DA170" s="141"/>
      <c r="DB170" s="141"/>
      <c r="DC170" s="141"/>
      <c r="DD170" s="141"/>
      <c r="DE170" s="141"/>
      <c r="DF170" s="140">
        <f t="shared" si="33"/>
        <v>0</v>
      </c>
      <c r="DG170" s="141"/>
      <c r="DH170" s="141"/>
      <c r="DI170" s="141"/>
      <c r="DJ170" s="141"/>
      <c r="DK170" s="141"/>
      <c r="DL170" s="141"/>
      <c r="DM170" s="141"/>
      <c r="DN170" s="140">
        <f t="shared" si="34"/>
        <v>0</v>
      </c>
      <c r="DO170" s="141"/>
      <c r="DP170" s="141"/>
      <c r="DQ170" s="141"/>
      <c r="DR170" s="141"/>
      <c r="DS170" s="141"/>
      <c r="DT170" s="141"/>
      <c r="DU170" s="141"/>
      <c r="DV170" s="140">
        <f>'Výkaz výměr'!L180</f>
        <v>0.04981</v>
      </c>
      <c r="DW170" s="141"/>
      <c r="DX170" s="141"/>
      <c r="DY170" s="141"/>
      <c r="DZ170" s="141"/>
      <c r="EA170" s="141"/>
      <c r="EB170" s="141"/>
      <c r="EC170" s="141"/>
      <c r="ED170" s="140">
        <f t="shared" si="35"/>
        <v>1.14563</v>
      </c>
      <c r="EE170" s="141"/>
      <c r="EF170" s="141"/>
      <c r="EG170" s="141"/>
      <c r="EH170" s="141"/>
      <c r="EI170" s="141"/>
      <c r="EJ170" s="141"/>
      <c r="EK170" s="141"/>
      <c r="EL170" s="142" t="s">
        <v>559</v>
      </c>
      <c r="EM170" s="143"/>
      <c r="EN170" s="143"/>
      <c r="EO170" s="143"/>
      <c r="EP170" s="143"/>
      <c r="EQ170" s="143"/>
      <c r="IR170" s="43">
        <f>CP170*0.831785407725322</f>
        <v>0</v>
      </c>
      <c r="IS170" s="43">
        <f>CP170*(1-0.831785407725322)</f>
        <v>0</v>
      </c>
    </row>
    <row r="171" spans="1:253" ht="12.75">
      <c r="A171" s="132" t="s">
        <v>149</v>
      </c>
      <c r="B171" s="133"/>
      <c r="C171" s="132" t="s">
        <v>199</v>
      </c>
      <c r="D171" s="133"/>
      <c r="E171" s="133"/>
      <c r="F171" s="132" t="s">
        <v>301</v>
      </c>
      <c r="G171" s="133"/>
      <c r="H171" s="133"/>
      <c r="I171" s="133"/>
      <c r="J171" s="133"/>
      <c r="K171" s="133"/>
      <c r="L171" s="132" t="s">
        <v>464</v>
      </c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2" t="s">
        <v>534</v>
      </c>
      <c r="AT171" s="133"/>
      <c r="AU171" s="132" t="s">
        <v>708</v>
      </c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0">
        <f>'Výkaz výměr'!F181</f>
        <v>26</v>
      </c>
      <c r="CL171" s="131"/>
      <c r="CM171" s="131"/>
      <c r="CN171" s="131"/>
      <c r="CO171" s="131"/>
      <c r="CP171" s="130">
        <f>'Výkaz výměr'!G181</f>
        <v>0</v>
      </c>
      <c r="CQ171" s="131"/>
      <c r="CR171" s="131"/>
      <c r="CS171" s="131"/>
      <c r="CT171" s="131"/>
      <c r="CU171" s="131"/>
      <c r="CV171" s="131"/>
      <c r="CW171" s="131"/>
      <c r="CX171" s="130">
        <f t="shared" si="32"/>
        <v>0</v>
      </c>
      <c r="CY171" s="131"/>
      <c r="CZ171" s="131"/>
      <c r="DA171" s="131"/>
      <c r="DB171" s="131"/>
      <c r="DC171" s="131"/>
      <c r="DD171" s="131"/>
      <c r="DE171" s="131"/>
      <c r="DF171" s="130">
        <f t="shared" si="33"/>
        <v>0</v>
      </c>
      <c r="DG171" s="131"/>
      <c r="DH171" s="131"/>
      <c r="DI171" s="131"/>
      <c r="DJ171" s="131"/>
      <c r="DK171" s="131"/>
      <c r="DL171" s="131"/>
      <c r="DM171" s="131"/>
      <c r="DN171" s="130">
        <f t="shared" si="34"/>
        <v>0</v>
      </c>
      <c r="DO171" s="131"/>
      <c r="DP171" s="131"/>
      <c r="DQ171" s="131"/>
      <c r="DR171" s="131"/>
      <c r="DS171" s="131"/>
      <c r="DT171" s="131"/>
      <c r="DU171" s="131"/>
      <c r="DV171" s="130">
        <f>'Výkaz výměr'!L181</f>
        <v>0.00212</v>
      </c>
      <c r="DW171" s="131"/>
      <c r="DX171" s="131"/>
      <c r="DY171" s="131"/>
      <c r="DZ171" s="131"/>
      <c r="EA171" s="131"/>
      <c r="EB171" s="131"/>
      <c r="EC171" s="131"/>
      <c r="ED171" s="130">
        <f t="shared" si="35"/>
        <v>0.055119999999999995</v>
      </c>
      <c r="EE171" s="131"/>
      <c r="EF171" s="131"/>
      <c r="EG171" s="131"/>
      <c r="EH171" s="131"/>
      <c r="EI171" s="131"/>
      <c r="EJ171" s="131"/>
      <c r="EK171" s="131"/>
      <c r="EL171" s="132" t="s">
        <v>559</v>
      </c>
      <c r="EM171" s="133"/>
      <c r="EN171" s="133"/>
      <c r="EO171" s="133"/>
      <c r="EP171" s="133"/>
      <c r="EQ171" s="133"/>
      <c r="IR171" s="42">
        <f aca="true" t="shared" si="36" ref="IR171:IR176">CP171*1</f>
        <v>0</v>
      </c>
      <c r="IS171" s="42">
        <f aca="true" t="shared" si="37" ref="IS171:IS176">CP171*(1-1)</f>
        <v>0</v>
      </c>
    </row>
    <row r="172" spans="1:253" ht="12.75">
      <c r="A172" s="132" t="s">
        <v>150</v>
      </c>
      <c r="B172" s="133"/>
      <c r="C172" s="132" t="s">
        <v>199</v>
      </c>
      <c r="D172" s="133"/>
      <c r="E172" s="133"/>
      <c r="F172" s="132" t="s">
        <v>302</v>
      </c>
      <c r="G172" s="133"/>
      <c r="H172" s="133"/>
      <c r="I172" s="133"/>
      <c r="J172" s="133"/>
      <c r="K172" s="133"/>
      <c r="L172" s="132" t="s">
        <v>465</v>
      </c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2" t="s">
        <v>534</v>
      </c>
      <c r="AT172" s="133"/>
      <c r="AU172" s="132" t="s">
        <v>708</v>
      </c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0">
        <f>'Výkaz výměr'!F182</f>
        <v>26</v>
      </c>
      <c r="CL172" s="131"/>
      <c r="CM172" s="131"/>
      <c r="CN172" s="131"/>
      <c r="CO172" s="131"/>
      <c r="CP172" s="130">
        <f>'Výkaz výměr'!G182</f>
        <v>0</v>
      </c>
      <c r="CQ172" s="131"/>
      <c r="CR172" s="131"/>
      <c r="CS172" s="131"/>
      <c r="CT172" s="131"/>
      <c r="CU172" s="131"/>
      <c r="CV172" s="131"/>
      <c r="CW172" s="131"/>
      <c r="CX172" s="130">
        <f t="shared" si="32"/>
        <v>0</v>
      </c>
      <c r="CY172" s="131"/>
      <c r="CZ172" s="131"/>
      <c r="DA172" s="131"/>
      <c r="DB172" s="131"/>
      <c r="DC172" s="131"/>
      <c r="DD172" s="131"/>
      <c r="DE172" s="131"/>
      <c r="DF172" s="130">
        <f t="shared" si="33"/>
        <v>0</v>
      </c>
      <c r="DG172" s="131"/>
      <c r="DH172" s="131"/>
      <c r="DI172" s="131"/>
      <c r="DJ172" s="131"/>
      <c r="DK172" s="131"/>
      <c r="DL172" s="131"/>
      <c r="DM172" s="131"/>
      <c r="DN172" s="130">
        <f t="shared" si="34"/>
        <v>0</v>
      </c>
      <c r="DO172" s="131"/>
      <c r="DP172" s="131"/>
      <c r="DQ172" s="131"/>
      <c r="DR172" s="131"/>
      <c r="DS172" s="131"/>
      <c r="DT172" s="131"/>
      <c r="DU172" s="131"/>
      <c r="DV172" s="130">
        <f>'Výkaz výměr'!L182</f>
        <v>0.00184</v>
      </c>
      <c r="DW172" s="131"/>
      <c r="DX172" s="131"/>
      <c r="DY172" s="131"/>
      <c r="DZ172" s="131"/>
      <c r="EA172" s="131"/>
      <c r="EB172" s="131"/>
      <c r="EC172" s="131"/>
      <c r="ED172" s="130">
        <f t="shared" si="35"/>
        <v>0.04784</v>
      </c>
      <c r="EE172" s="131"/>
      <c r="EF172" s="131"/>
      <c r="EG172" s="131"/>
      <c r="EH172" s="131"/>
      <c r="EI172" s="131"/>
      <c r="EJ172" s="131"/>
      <c r="EK172" s="131"/>
      <c r="EL172" s="132" t="s">
        <v>559</v>
      </c>
      <c r="EM172" s="133"/>
      <c r="EN172" s="133"/>
      <c r="EO172" s="133"/>
      <c r="EP172" s="133"/>
      <c r="EQ172" s="133"/>
      <c r="IR172" s="42">
        <f t="shared" si="36"/>
        <v>0</v>
      </c>
      <c r="IS172" s="42">
        <f t="shared" si="37"/>
        <v>0</v>
      </c>
    </row>
    <row r="173" spans="1:253" ht="12.75">
      <c r="A173" s="132" t="s">
        <v>151</v>
      </c>
      <c r="B173" s="133"/>
      <c r="C173" s="132" t="s">
        <v>199</v>
      </c>
      <c r="D173" s="133"/>
      <c r="E173" s="133"/>
      <c r="F173" s="132" t="s">
        <v>303</v>
      </c>
      <c r="G173" s="133"/>
      <c r="H173" s="133"/>
      <c r="I173" s="133"/>
      <c r="J173" s="133"/>
      <c r="K173" s="133"/>
      <c r="L173" s="132" t="s">
        <v>466</v>
      </c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2" t="s">
        <v>534</v>
      </c>
      <c r="AT173" s="133"/>
      <c r="AU173" s="132" t="s">
        <v>709</v>
      </c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0">
        <f>'Výkaz výměr'!F183</f>
        <v>48</v>
      </c>
      <c r="CL173" s="131"/>
      <c r="CM173" s="131"/>
      <c r="CN173" s="131"/>
      <c r="CO173" s="131"/>
      <c r="CP173" s="130">
        <f>'Výkaz výměr'!G183</f>
        <v>0</v>
      </c>
      <c r="CQ173" s="131"/>
      <c r="CR173" s="131"/>
      <c r="CS173" s="131"/>
      <c r="CT173" s="131"/>
      <c r="CU173" s="131"/>
      <c r="CV173" s="131"/>
      <c r="CW173" s="131"/>
      <c r="CX173" s="130">
        <f t="shared" si="32"/>
        <v>0</v>
      </c>
      <c r="CY173" s="131"/>
      <c r="CZ173" s="131"/>
      <c r="DA173" s="131"/>
      <c r="DB173" s="131"/>
      <c r="DC173" s="131"/>
      <c r="DD173" s="131"/>
      <c r="DE173" s="131"/>
      <c r="DF173" s="130">
        <f t="shared" si="33"/>
        <v>0</v>
      </c>
      <c r="DG173" s="131"/>
      <c r="DH173" s="131"/>
      <c r="DI173" s="131"/>
      <c r="DJ173" s="131"/>
      <c r="DK173" s="131"/>
      <c r="DL173" s="131"/>
      <c r="DM173" s="131"/>
      <c r="DN173" s="130">
        <f t="shared" si="34"/>
        <v>0</v>
      </c>
      <c r="DO173" s="131"/>
      <c r="DP173" s="131"/>
      <c r="DQ173" s="131"/>
      <c r="DR173" s="131"/>
      <c r="DS173" s="131"/>
      <c r="DT173" s="131"/>
      <c r="DU173" s="131"/>
      <c r="DV173" s="130">
        <f>'Výkaz výměr'!L183</f>
        <v>0.00125</v>
      </c>
      <c r="DW173" s="131"/>
      <c r="DX173" s="131"/>
      <c r="DY173" s="131"/>
      <c r="DZ173" s="131"/>
      <c r="EA173" s="131"/>
      <c r="EB173" s="131"/>
      <c r="EC173" s="131"/>
      <c r="ED173" s="130">
        <f t="shared" si="35"/>
        <v>0.06</v>
      </c>
      <c r="EE173" s="131"/>
      <c r="EF173" s="131"/>
      <c r="EG173" s="131"/>
      <c r="EH173" s="131"/>
      <c r="EI173" s="131"/>
      <c r="EJ173" s="131"/>
      <c r="EK173" s="131"/>
      <c r="EL173" s="132" t="s">
        <v>559</v>
      </c>
      <c r="EM173" s="133"/>
      <c r="EN173" s="133"/>
      <c r="EO173" s="133"/>
      <c r="EP173" s="133"/>
      <c r="EQ173" s="133"/>
      <c r="IR173" s="42">
        <f t="shared" si="36"/>
        <v>0</v>
      </c>
      <c r="IS173" s="42">
        <f t="shared" si="37"/>
        <v>0</v>
      </c>
    </row>
    <row r="174" spans="1:253" ht="12.75">
      <c r="A174" s="132" t="s">
        <v>152</v>
      </c>
      <c r="B174" s="133"/>
      <c r="C174" s="132" t="s">
        <v>199</v>
      </c>
      <c r="D174" s="133"/>
      <c r="E174" s="133"/>
      <c r="F174" s="132" t="s">
        <v>304</v>
      </c>
      <c r="G174" s="133"/>
      <c r="H174" s="133"/>
      <c r="I174" s="133"/>
      <c r="J174" s="133"/>
      <c r="K174" s="133"/>
      <c r="L174" s="132" t="s">
        <v>467</v>
      </c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2" t="s">
        <v>534</v>
      </c>
      <c r="AT174" s="133"/>
      <c r="AU174" s="132" t="s">
        <v>709</v>
      </c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0">
        <f>'Výkaz výměr'!F184</f>
        <v>48</v>
      </c>
      <c r="CL174" s="131"/>
      <c r="CM174" s="131"/>
      <c r="CN174" s="131"/>
      <c r="CO174" s="131"/>
      <c r="CP174" s="130">
        <f>'Výkaz výměr'!G184</f>
        <v>0</v>
      </c>
      <c r="CQ174" s="131"/>
      <c r="CR174" s="131"/>
      <c r="CS174" s="131"/>
      <c r="CT174" s="131"/>
      <c r="CU174" s="131"/>
      <c r="CV174" s="131"/>
      <c r="CW174" s="131"/>
      <c r="CX174" s="130">
        <f t="shared" si="32"/>
        <v>0</v>
      </c>
      <c r="CY174" s="131"/>
      <c r="CZ174" s="131"/>
      <c r="DA174" s="131"/>
      <c r="DB174" s="131"/>
      <c r="DC174" s="131"/>
      <c r="DD174" s="131"/>
      <c r="DE174" s="131"/>
      <c r="DF174" s="130">
        <f t="shared" si="33"/>
        <v>0</v>
      </c>
      <c r="DG174" s="131"/>
      <c r="DH174" s="131"/>
      <c r="DI174" s="131"/>
      <c r="DJ174" s="131"/>
      <c r="DK174" s="131"/>
      <c r="DL174" s="131"/>
      <c r="DM174" s="131"/>
      <c r="DN174" s="130">
        <f t="shared" si="34"/>
        <v>0</v>
      </c>
      <c r="DO174" s="131"/>
      <c r="DP174" s="131"/>
      <c r="DQ174" s="131"/>
      <c r="DR174" s="131"/>
      <c r="DS174" s="131"/>
      <c r="DT174" s="131"/>
      <c r="DU174" s="131"/>
      <c r="DV174" s="130">
        <f>'Výkaz výměr'!L184</f>
        <v>0.00107</v>
      </c>
      <c r="DW174" s="131"/>
      <c r="DX174" s="131"/>
      <c r="DY174" s="131"/>
      <c r="DZ174" s="131"/>
      <c r="EA174" s="131"/>
      <c r="EB174" s="131"/>
      <c r="EC174" s="131"/>
      <c r="ED174" s="130">
        <f t="shared" si="35"/>
        <v>0.05136</v>
      </c>
      <c r="EE174" s="131"/>
      <c r="EF174" s="131"/>
      <c r="EG174" s="131"/>
      <c r="EH174" s="131"/>
      <c r="EI174" s="131"/>
      <c r="EJ174" s="131"/>
      <c r="EK174" s="131"/>
      <c r="EL174" s="132" t="s">
        <v>559</v>
      </c>
      <c r="EM174" s="133"/>
      <c r="EN174" s="133"/>
      <c r="EO174" s="133"/>
      <c r="EP174" s="133"/>
      <c r="EQ174" s="133"/>
      <c r="IR174" s="42">
        <f t="shared" si="36"/>
        <v>0</v>
      </c>
      <c r="IS174" s="42">
        <f t="shared" si="37"/>
        <v>0</v>
      </c>
    </row>
    <row r="175" spans="1:253" ht="12.75">
      <c r="A175" s="132" t="s">
        <v>153</v>
      </c>
      <c r="B175" s="133"/>
      <c r="C175" s="132" t="s">
        <v>199</v>
      </c>
      <c r="D175" s="133"/>
      <c r="E175" s="133"/>
      <c r="F175" s="132" t="s">
        <v>305</v>
      </c>
      <c r="G175" s="133"/>
      <c r="H175" s="133"/>
      <c r="I175" s="133"/>
      <c r="J175" s="133"/>
      <c r="K175" s="133"/>
      <c r="L175" s="132" t="s">
        <v>468</v>
      </c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2" t="s">
        <v>534</v>
      </c>
      <c r="AT175" s="133"/>
      <c r="AU175" s="132" t="s">
        <v>709</v>
      </c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0">
        <f>'Výkaz výměr'!F185</f>
        <v>48</v>
      </c>
      <c r="CL175" s="131"/>
      <c r="CM175" s="131"/>
      <c r="CN175" s="131"/>
      <c r="CO175" s="131"/>
      <c r="CP175" s="130">
        <f>'Výkaz výměr'!G185</f>
        <v>0</v>
      </c>
      <c r="CQ175" s="131"/>
      <c r="CR175" s="131"/>
      <c r="CS175" s="131"/>
      <c r="CT175" s="131"/>
      <c r="CU175" s="131"/>
      <c r="CV175" s="131"/>
      <c r="CW175" s="131"/>
      <c r="CX175" s="130">
        <f t="shared" si="32"/>
        <v>0</v>
      </c>
      <c r="CY175" s="131"/>
      <c r="CZ175" s="131"/>
      <c r="DA175" s="131"/>
      <c r="DB175" s="131"/>
      <c r="DC175" s="131"/>
      <c r="DD175" s="131"/>
      <c r="DE175" s="131"/>
      <c r="DF175" s="130">
        <f t="shared" si="33"/>
        <v>0</v>
      </c>
      <c r="DG175" s="131"/>
      <c r="DH175" s="131"/>
      <c r="DI175" s="131"/>
      <c r="DJ175" s="131"/>
      <c r="DK175" s="131"/>
      <c r="DL175" s="131"/>
      <c r="DM175" s="131"/>
      <c r="DN175" s="130">
        <f t="shared" si="34"/>
        <v>0</v>
      </c>
      <c r="DO175" s="131"/>
      <c r="DP175" s="131"/>
      <c r="DQ175" s="131"/>
      <c r="DR175" s="131"/>
      <c r="DS175" s="131"/>
      <c r="DT175" s="131"/>
      <c r="DU175" s="131"/>
      <c r="DV175" s="130">
        <f>'Výkaz výměr'!L185</f>
        <v>0.001</v>
      </c>
      <c r="DW175" s="131"/>
      <c r="DX175" s="131"/>
      <c r="DY175" s="131"/>
      <c r="DZ175" s="131"/>
      <c r="EA175" s="131"/>
      <c r="EB175" s="131"/>
      <c r="EC175" s="131"/>
      <c r="ED175" s="130">
        <f t="shared" si="35"/>
        <v>0.048</v>
      </c>
      <c r="EE175" s="131"/>
      <c r="EF175" s="131"/>
      <c r="EG175" s="131"/>
      <c r="EH175" s="131"/>
      <c r="EI175" s="131"/>
      <c r="EJ175" s="131"/>
      <c r="EK175" s="131"/>
      <c r="EL175" s="132" t="s">
        <v>559</v>
      </c>
      <c r="EM175" s="133"/>
      <c r="EN175" s="133"/>
      <c r="EO175" s="133"/>
      <c r="EP175" s="133"/>
      <c r="EQ175" s="133"/>
      <c r="IR175" s="42">
        <f t="shared" si="36"/>
        <v>0</v>
      </c>
      <c r="IS175" s="42">
        <f t="shared" si="37"/>
        <v>0</v>
      </c>
    </row>
    <row r="176" spans="1:253" ht="12.75">
      <c r="A176" s="132" t="s">
        <v>154</v>
      </c>
      <c r="B176" s="133"/>
      <c r="C176" s="132" t="s">
        <v>199</v>
      </c>
      <c r="D176" s="133"/>
      <c r="E176" s="133"/>
      <c r="F176" s="132" t="s">
        <v>306</v>
      </c>
      <c r="G176" s="133"/>
      <c r="H176" s="133"/>
      <c r="I176" s="133"/>
      <c r="J176" s="133"/>
      <c r="K176" s="133"/>
      <c r="L176" s="132" t="s">
        <v>469</v>
      </c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2" t="s">
        <v>534</v>
      </c>
      <c r="AT176" s="133"/>
      <c r="AU176" s="132" t="s">
        <v>709</v>
      </c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0">
        <f>'Výkaz výměr'!F186</f>
        <v>48</v>
      </c>
      <c r="CL176" s="131"/>
      <c r="CM176" s="131"/>
      <c r="CN176" s="131"/>
      <c r="CO176" s="131"/>
      <c r="CP176" s="130">
        <f>'Výkaz výměr'!G186</f>
        <v>0</v>
      </c>
      <c r="CQ176" s="131"/>
      <c r="CR176" s="131"/>
      <c r="CS176" s="131"/>
      <c r="CT176" s="131"/>
      <c r="CU176" s="131"/>
      <c r="CV176" s="131"/>
      <c r="CW176" s="131"/>
      <c r="CX176" s="130">
        <f t="shared" si="32"/>
        <v>0</v>
      </c>
      <c r="CY176" s="131"/>
      <c r="CZ176" s="131"/>
      <c r="DA176" s="131"/>
      <c r="DB176" s="131"/>
      <c r="DC176" s="131"/>
      <c r="DD176" s="131"/>
      <c r="DE176" s="131"/>
      <c r="DF176" s="130">
        <f t="shared" si="33"/>
        <v>0</v>
      </c>
      <c r="DG176" s="131"/>
      <c r="DH176" s="131"/>
      <c r="DI176" s="131"/>
      <c r="DJ176" s="131"/>
      <c r="DK176" s="131"/>
      <c r="DL176" s="131"/>
      <c r="DM176" s="131"/>
      <c r="DN176" s="130">
        <f t="shared" si="34"/>
        <v>0</v>
      </c>
      <c r="DO176" s="131"/>
      <c r="DP176" s="131"/>
      <c r="DQ176" s="131"/>
      <c r="DR176" s="131"/>
      <c r="DS176" s="131"/>
      <c r="DT176" s="131"/>
      <c r="DU176" s="131"/>
      <c r="DV176" s="130">
        <f>'Výkaz výměr'!L186</f>
        <v>0.00096</v>
      </c>
      <c r="DW176" s="131"/>
      <c r="DX176" s="131"/>
      <c r="DY176" s="131"/>
      <c r="DZ176" s="131"/>
      <c r="EA176" s="131"/>
      <c r="EB176" s="131"/>
      <c r="EC176" s="131"/>
      <c r="ED176" s="130">
        <f t="shared" si="35"/>
        <v>0.04608</v>
      </c>
      <c r="EE176" s="131"/>
      <c r="EF176" s="131"/>
      <c r="EG176" s="131"/>
      <c r="EH176" s="131"/>
      <c r="EI176" s="131"/>
      <c r="EJ176" s="131"/>
      <c r="EK176" s="131"/>
      <c r="EL176" s="132" t="s">
        <v>559</v>
      </c>
      <c r="EM176" s="133"/>
      <c r="EN176" s="133"/>
      <c r="EO176" s="133"/>
      <c r="EP176" s="133"/>
      <c r="EQ176" s="133"/>
      <c r="IR176" s="42">
        <f t="shared" si="36"/>
        <v>0</v>
      </c>
      <c r="IS176" s="42">
        <f t="shared" si="37"/>
        <v>0</v>
      </c>
    </row>
    <row r="177" spans="1:253" ht="12.75">
      <c r="A177" s="142" t="s">
        <v>155</v>
      </c>
      <c r="B177" s="143"/>
      <c r="C177" s="142" t="s">
        <v>199</v>
      </c>
      <c r="D177" s="143"/>
      <c r="E177" s="143"/>
      <c r="F177" s="142" t="s">
        <v>307</v>
      </c>
      <c r="G177" s="143"/>
      <c r="H177" s="143"/>
      <c r="I177" s="143"/>
      <c r="J177" s="143"/>
      <c r="K177" s="143"/>
      <c r="L177" s="142" t="s">
        <v>470</v>
      </c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2" t="s">
        <v>534</v>
      </c>
      <c r="AT177" s="143"/>
      <c r="AU177" s="142" t="s">
        <v>710</v>
      </c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0">
        <f>'Výkaz výměr'!F187</f>
        <v>244</v>
      </c>
      <c r="CL177" s="141"/>
      <c r="CM177" s="141"/>
      <c r="CN177" s="141"/>
      <c r="CO177" s="141"/>
      <c r="CP177" s="140">
        <f>'Výkaz výměr'!G187</f>
        <v>0</v>
      </c>
      <c r="CQ177" s="141"/>
      <c r="CR177" s="141"/>
      <c r="CS177" s="141"/>
      <c r="CT177" s="141"/>
      <c r="CU177" s="141"/>
      <c r="CV177" s="141"/>
      <c r="CW177" s="141"/>
      <c r="CX177" s="140">
        <f t="shared" si="32"/>
        <v>0</v>
      </c>
      <c r="CY177" s="141"/>
      <c r="CZ177" s="141"/>
      <c r="DA177" s="141"/>
      <c r="DB177" s="141"/>
      <c r="DC177" s="141"/>
      <c r="DD177" s="141"/>
      <c r="DE177" s="141"/>
      <c r="DF177" s="140">
        <f t="shared" si="33"/>
        <v>0</v>
      </c>
      <c r="DG177" s="141"/>
      <c r="DH177" s="141"/>
      <c r="DI177" s="141"/>
      <c r="DJ177" s="141"/>
      <c r="DK177" s="141"/>
      <c r="DL177" s="141"/>
      <c r="DM177" s="141"/>
      <c r="DN177" s="140">
        <f t="shared" si="34"/>
        <v>0</v>
      </c>
      <c r="DO177" s="141"/>
      <c r="DP177" s="141"/>
      <c r="DQ177" s="141"/>
      <c r="DR177" s="141"/>
      <c r="DS177" s="141"/>
      <c r="DT177" s="141"/>
      <c r="DU177" s="141"/>
      <c r="DV177" s="140">
        <f>'Výkaz výměr'!L187</f>
        <v>3E-05</v>
      </c>
      <c r="DW177" s="141"/>
      <c r="DX177" s="141"/>
      <c r="DY177" s="141"/>
      <c r="DZ177" s="141"/>
      <c r="EA177" s="141"/>
      <c r="EB177" s="141"/>
      <c r="EC177" s="141"/>
      <c r="ED177" s="140">
        <f t="shared" si="35"/>
        <v>0.00732</v>
      </c>
      <c r="EE177" s="141"/>
      <c r="EF177" s="141"/>
      <c r="EG177" s="141"/>
      <c r="EH177" s="141"/>
      <c r="EI177" s="141"/>
      <c r="EJ177" s="141"/>
      <c r="EK177" s="141"/>
      <c r="EL177" s="142" t="s">
        <v>559</v>
      </c>
      <c r="EM177" s="143"/>
      <c r="EN177" s="143"/>
      <c r="EO177" s="143"/>
      <c r="EP177" s="143"/>
      <c r="EQ177" s="143"/>
      <c r="IR177" s="43">
        <f>CP177*0.0073327222731439</f>
        <v>0</v>
      </c>
      <c r="IS177" s="43">
        <f>CP177*(1-0.0073327222731439)</f>
        <v>0</v>
      </c>
    </row>
    <row r="178" spans="1:253" ht="12.75">
      <c r="A178" s="132" t="s">
        <v>156</v>
      </c>
      <c r="B178" s="133"/>
      <c r="C178" s="132" t="s">
        <v>199</v>
      </c>
      <c r="D178" s="133"/>
      <c r="E178" s="133"/>
      <c r="F178" s="132" t="s">
        <v>308</v>
      </c>
      <c r="G178" s="133"/>
      <c r="H178" s="133"/>
      <c r="I178" s="133"/>
      <c r="J178" s="133"/>
      <c r="K178" s="133"/>
      <c r="L178" s="132" t="s">
        <v>471</v>
      </c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2" t="s">
        <v>534</v>
      </c>
      <c r="AT178" s="133"/>
      <c r="AU178" s="132" t="s">
        <v>711</v>
      </c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0">
        <f>'Výkaz výměr'!F188</f>
        <v>24</v>
      </c>
      <c r="CL178" s="131"/>
      <c r="CM178" s="131"/>
      <c r="CN178" s="131"/>
      <c r="CO178" s="131"/>
      <c r="CP178" s="130">
        <f>'Výkaz výměr'!G188</f>
        <v>0</v>
      </c>
      <c r="CQ178" s="131"/>
      <c r="CR178" s="131"/>
      <c r="CS178" s="131"/>
      <c r="CT178" s="131"/>
      <c r="CU178" s="131"/>
      <c r="CV178" s="131"/>
      <c r="CW178" s="131"/>
      <c r="CX178" s="130">
        <f t="shared" si="32"/>
        <v>0</v>
      </c>
      <c r="CY178" s="131"/>
      <c r="CZ178" s="131"/>
      <c r="DA178" s="131"/>
      <c r="DB178" s="131"/>
      <c r="DC178" s="131"/>
      <c r="DD178" s="131"/>
      <c r="DE178" s="131"/>
      <c r="DF178" s="130">
        <f t="shared" si="33"/>
        <v>0</v>
      </c>
      <c r="DG178" s="131"/>
      <c r="DH178" s="131"/>
      <c r="DI178" s="131"/>
      <c r="DJ178" s="131"/>
      <c r="DK178" s="131"/>
      <c r="DL178" s="131"/>
      <c r="DM178" s="131"/>
      <c r="DN178" s="130">
        <f t="shared" si="34"/>
        <v>0</v>
      </c>
      <c r="DO178" s="131"/>
      <c r="DP178" s="131"/>
      <c r="DQ178" s="131"/>
      <c r="DR178" s="131"/>
      <c r="DS178" s="131"/>
      <c r="DT178" s="131"/>
      <c r="DU178" s="131"/>
      <c r="DV178" s="130">
        <f>'Výkaz výměr'!L188</f>
        <v>0.00089</v>
      </c>
      <c r="DW178" s="131"/>
      <c r="DX178" s="131"/>
      <c r="DY178" s="131"/>
      <c r="DZ178" s="131"/>
      <c r="EA178" s="131"/>
      <c r="EB178" s="131"/>
      <c r="EC178" s="131"/>
      <c r="ED178" s="130">
        <f t="shared" si="35"/>
        <v>0.021359999999999997</v>
      </c>
      <c r="EE178" s="131"/>
      <c r="EF178" s="131"/>
      <c r="EG178" s="131"/>
      <c r="EH178" s="131"/>
      <c r="EI178" s="131"/>
      <c r="EJ178" s="131"/>
      <c r="EK178" s="131"/>
      <c r="EL178" s="132" t="s">
        <v>559</v>
      </c>
      <c r="EM178" s="133"/>
      <c r="EN178" s="133"/>
      <c r="EO178" s="133"/>
      <c r="EP178" s="133"/>
      <c r="EQ178" s="133"/>
      <c r="IR178" s="42">
        <f>CP178*1</f>
        <v>0</v>
      </c>
      <c r="IS178" s="42">
        <f>CP178*(1-1)</f>
        <v>0</v>
      </c>
    </row>
    <row r="179" spans="1:253" ht="12.75">
      <c r="A179" s="132" t="s">
        <v>157</v>
      </c>
      <c r="B179" s="133"/>
      <c r="C179" s="132" t="s">
        <v>199</v>
      </c>
      <c r="D179" s="133"/>
      <c r="E179" s="133"/>
      <c r="F179" s="132" t="s">
        <v>309</v>
      </c>
      <c r="G179" s="133"/>
      <c r="H179" s="133"/>
      <c r="I179" s="133"/>
      <c r="J179" s="133"/>
      <c r="K179" s="133"/>
      <c r="L179" s="132" t="s">
        <v>472</v>
      </c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2" t="s">
        <v>534</v>
      </c>
      <c r="AT179" s="133"/>
      <c r="AU179" s="132" t="s">
        <v>712</v>
      </c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0">
        <f>'Výkaz výměr'!F189</f>
        <v>11</v>
      </c>
      <c r="CL179" s="131"/>
      <c r="CM179" s="131"/>
      <c r="CN179" s="131"/>
      <c r="CO179" s="131"/>
      <c r="CP179" s="130">
        <f>'Výkaz výměr'!G189</f>
        <v>0</v>
      </c>
      <c r="CQ179" s="131"/>
      <c r="CR179" s="131"/>
      <c r="CS179" s="131"/>
      <c r="CT179" s="131"/>
      <c r="CU179" s="131"/>
      <c r="CV179" s="131"/>
      <c r="CW179" s="131"/>
      <c r="CX179" s="130">
        <f t="shared" si="32"/>
        <v>0</v>
      </c>
      <c r="CY179" s="131"/>
      <c r="CZ179" s="131"/>
      <c r="DA179" s="131"/>
      <c r="DB179" s="131"/>
      <c r="DC179" s="131"/>
      <c r="DD179" s="131"/>
      <c r="DE179" s="131"/>
      <c r="DF179" s="130">
        <f t="shared" si="33"/>
        <v>0</v>
      </c>
      <c r="DG179" s="131"/>
      <c r="DH179" s="131"/>
      <c r="DI179" s="131"/>
      <c r="DJ179" s="131"/>
      <c r="DK179" s="131"/>
      <c r="DL179" s="131"/>
      <c r="DM179" s="131"/>
      <c r="DN179" s="130">
        <f t="shared" si="34"/>
        <v>0</v>
      </c>
      <c r="DO179" s="131"/>
      <c r="DP179" s="131"/>
      <c r="DQ179" s="131"/>
      <c r="DR179" s="131"/>
      <c r="DS179" s="131"/>
      <c r="DT179" s="131"/>
      <c r="DU179" s="131"/>
      <c r="DV179" s="130">
        <f>'Výkaz výměr'!L189</f>
        <v>0.00159</v>
      </c>
      <c r="DW179" s="131"/>
      <c r="DX179" s="131"/>
      <c r="DY179" s="131"/>
      <c r="DZ179" s="131"/>
      <c r="EA179" s="131"/>
      <c r="EB179" s="131"/>
      <c r="EC179" s="131"/>
      <c r="ED179" s="130">
        <f t="shared" si="35"/>
        <v>0.017490000000000002</v>
      </c>
      <c r="EE179" s="131"/>
      <c r="EF179" s="131"/>
      <c r="EG179" s="131"/>
      <c r="EH179" s="131"/>
      <c r="EI179" s="131"/>
      <c r="EJ179" s="131"/>
      <c r="EK179" s="131"/>
      <c r="EL179" s="132" t="s">
        <v>559</v>
      </c>
      <c r="EM179" s="133"/>
      <c r="EN179" s="133"/>
      <c r="EO179" s="133"/>
      <c r="EP179" s="133"/>
      <c r="EQ179" s="133"/>
      <c r="IR179" s="42">
        <f>CP179*1</f>
        <v>0</v>
      </c>
      <c r="IS179" s="42">
        <f>CP179*(1-1)</f>
        <v>0</v>
      </c>
    </row>
    <row r="180" spans="1:147" ht="12.75">
      <c r="A180" s="136" t="s">
        <v>5</v>
      </c>
      <c r="B180" s="137"/>
      <c r="C180" s="136" t="s">
        <v>5</v>
      </c>
      <c r="D180" s="137"/>
      <c r="E180" s="137"/>
      <c r="F180" s="136" t="s">
        <v>27</v>
      </c>
      <c r="G180" s="137"/>
      <c r="H180" s="137"/>
      <c r="I180" s="137"/>
      <c r="J180" s="137"/>
      <c r="K180" s="137"/>
      <c r="L180" s="136" t="s">
        <v>473</v>
      </c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6" t="s">
        <v>5</v>
      </c>
      <c r="AT180" s="137"/>
      <c r="AU180" s="136" t="s">
        <v>5</v>
      </c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8" t="s">
        <v>5</v>
      </c>
      <c r="CL180" s="139"/>
      <c r="CM180" s="139"/>
      <c r="CN180" s="139"/>
      <c r="CO180" s="139"/>
      <c r="CP180" s="138" t="s">
        <v>5</v>
      </c>
      <c r="CQ180" s="139"/>
      <c r="CR180" s="139"/>
      <c r="CS180" s="139"/>
      <c r="CT180" s="139"/>
      <c r="CU180" s="139"/>
      <c r="CV180" s="139"/>
      <c r="CW180" s="139"/>
      <c r="CX180" s="134">
        <f>SUM(CX181:CX188)</f>
        <v>0</v>
      </c>
      <c r="CY180" s="135"/>
      <c r="CZ180" s="135"/>
      <c r="DA180" s="135"/>
      <c r="DB180" s="135"/>
      <c r="DC180" s="135"/>
      <c r="DD180" s="135"/>
      <c r="DE180" s="135"/>
      <c r="DF180" s="144">
        <f>SUM(DF181:DF188)</f>
        <v>0</v>
      </c>
      <c r="DG180" s="139"/>
      <c r="DH180" s="139"/>
      <c r="DI180" s="139"/>
      <c r="DJ180" s="139"/>
      <c r="DK180" s="139"/>
      <c r="DL180" s="139"/>
      <c r="DM180" s="139"/>
      <c r="DN180" s="144">
        <f>SUM(DN181:DN188)</f>
        <v>0</v>
      </c>
      <c r="DO180" s="139"/>
      <c r="DP180" s="139"/>
      <c r="DQ180" s="139"/>
      <c r="DR180" s="139"/>
      <c r="DS180" s="139"/>
      <c r="DT180" s="139"/>
      <c r="DU180" s="139"/>
      <c r="DV180" s="138" t="s">
        <v>5</v>
      </c>
      <c r="DW180" s="139"/>
      <c r="DX180" s="139"/>
      <c r="DY180" s="139"/>
      <c r="DZ180" s="139"/>
      <c r="EA180" s="139"/>
      <c r="EB180" s="139"/>
      <c r="EC180" s="139"/>
      <c r="ED180" s="144">
        <f>SUM(ED181:ED188)</f>
        <v>46.30739</v>
      </c>
      <c r="EE180" s="139"/>
      <c r="EF180" s="139"/>
      <c r="EG180" s="139"/>
      <c r="EH180" s="139"/>
      <c r="EI180" s="139"/>
      <c r="EJ180" s="139"/>
      <c r="EK180" s="139"/>
      <c r="EL180" s="136" t="s">
        <v>5</v>
      </c>
      <c r="EM180" s="137"/>
      <c r="EN180" s="137"/>
      <c r="EO180" s="137"/>
      <c r="EP180" s="137"/>
      <c r="EQ180" s="137"/>
    </row>
    <row r="181" spans="1:253" ht="12.75">
      <c r="A181" s="132" t="s">
        <v>158</v>
      </c>
      <c r="B181" s="133"/>
      <c r="C181" s="132" t="s">
        <v>199</v>
      </c>
      <c r="D181" s="133"/>
      <c r="E181" s="133"/>
      <c r="F181" s="132" t="s">
        <v>284</v>
      </c>
      <c r="G181" s="133"/>
      <c r="H181" s="133"/>
      <c r="I181" s="133"/>
      <c r="J181" s="133"/>
      <c r="K181" s="133"/>
      <c r="L181" s="132" t="s">
        <v>474</v>
      </c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2" t="s">
        <v>526</v>
      </c>
      <c r="AT181" s="133"/>
      <c r="AU181" s="132" t="s">
        <v>713</v>
      </c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0">
        <f>'Výkaz výměr'!F191</f>
        <v>453.15</v>
      </c>
      <c r="CL181" s="131"/>
      <c r="CM181" s="131"/>
      <c r="CN181" s="131"/>
      <c r="CO181" s="131"/>
      <c r="CP181" s="130">
        <f>'Výkaz výměr'!G191</f>
        <v>0</v>
      </c>
      <c r="CQ181" s="131"/>
      <c r="CR181" s="131"/>
      <c r="CS181" s="131"/>
      <c r="CT181" s="131"/>
      <c r="CU181" s="131"/>
      <c r="CV181" s="131"/>
      <c r="CW181" s="131"/>
      <c r="CX181" s="130">
        <f aca="true" t="shared" si="38" ref="CX181:CX188">IR181*CK181</f>
        <v>0</v>
      </c>
      <c r="CY181" s="131"/>
      <c r="CZ181" s="131"/>
      <c r="DA181" s="131"/>
      <c r="DB181" s="131"/>
      <c r="DC181" s="131"/>
      <c r="DD181" s="131"/>
      <c r="DE181" s="131"/>
      <c r="DF181" s="130">
        <f aca="true" t="shared" si="39" ref="DF181:DF188">IS181*CK181</f>
        <v>0</v>
      </c>
      <c r="DG181" s="131"/>
      <c r="DH181" s="131"/>
      <c r="DI181" s="131"/>
      <c r="DJ181" s="131"/>
      <c r="DK181" s="131"/>
      <c r="DL181" s="131"/>
      <c r="DM181" s="131"/>
      <c r="DN181" s="130">
        <f aca="true" t="shared" si="40" ref="DN181:DN188">IR181*CK181+IS181*CK181</f>
        <v>0</v>
      </c>
      <c r="DO181" s="131"/>
      <c r="DP181" s="131"/>
      <c r="DQ181" s="131"/>
      <c r="DR181" s="131"/>
      <c r="DS181" s="131"/>
      <c r="DT181" s="131"/>
      <c r="DU181" s="131"/>
      <c r="DV181" s="130">
        <f>'Výkaz výměr'!L191</f>
        <v>0</v>
      </c>
      <c r="DW181" s="131"/>
      <c r="DX181" s="131"/>
      <c r="DY181" s="131"/>
      <c r="DZ181" s="131"/>
      <c r="EA181" s="131"/>
      <c r="EB181" s="131"/>
      <c r="EC181" s="131"/>
      <c r="ED181" s="130">
        <f aca="true" t="shared" si="41" ref="ED181:ED188">DV181*CK181</f>
        <v>0</v>
      </c>
      <c r="EE181" s="131"/>
      <c r="EF181" s="131"/>
      <c r="EG181" s="131"/>
      <c r="EH181" s="131"/>
      <c r="EI181" s="131"/>
      <c r="EJ181" s="131"/>
      <c r="EK181" s="131"/>
      <c r="EL181" s="132"/>
      <c r="EM181" s="133"/>
      <c r="EN181" s="133"/>
      <c r="EO181" s="133"/>
      <c r="EP181" s="133"/>
      <c r="EQ181" s="133"/>
      <c r="IR181" s="42">
        <f>CP181*1</f>
        <v>0</v>
      </c>
      <c r="IS181" s="42">
        <f>CP181*(1-1)</f>
        <v>0</v>
      </c>
    </row>
    <row r="182" spans="1:253" ht="12.75">
      <c r="A182" s="142" t="s">
        <v>159</v>
      </c>
      <c r="B182" s="143"/>
      <c r="C182" s="142" t="s">
        <v>199</v>
      </c>
      <c r="D182" s="143"/>
      <c r="E182" s="143"/>
      <c r="F182" s="142" t="s">
        <v>310</v>
      </c>
      <c r="G182" s="143"/>
      <c r="H182" s="143"/>
      <c r="I182" s="143"/>
      <c r="J182" s="143"/>
      <c r="K182" s="143"/>
      <c r="L182" s="142" t="s">
        <v>475</v>
      </c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2" t="s">
        <v>534</v>
      </c>
      <c r="AT182" s="143"/>
      <c r="AU182" s="142" t="s">
        <v>714</v>
      </c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/>
      <c r="CI182" s="143"/>
      <c r="CJ182" s="143"/>
      <c r="CK182" s="140">
        <f>'Výkaz výměr'!F192</f>
        <v>8</v>
      </c>
      <c r="CL182" s="141"/>
      <c r="CM182" s="141"/>
      <c r="CN182" s="141"/>
      <c r="CO182" s="141"/>
      <c r="CP182" s="140">
        <f>'Výkaz výměr'!G192</f>
        <v>0</v>
      </c>
      <c r="CQ182" s="141"/>
      <c r="CR182" s="141"/>
      <c r="CS182" s="141"/>
      <c r="CT182" s="141"/>
      <c r="CU182" s="141"/>
      <c r="CV182" s="141"/>
      <c r="CW182" s="141"/>
      <c r="CX182" s="140">
        <f t="shared" si="38"/>
        <v>0</v>
      </c>
      <c r="CY182" s="141"/>
      <c r="CZ182" s="141"/>
      <c r="DA182" s="141"/>
      <c r="DB182" s="141"/>
      <c r="DC182" s="141"/>
      <c r="DD182" s="141"/>
      <c r="DE182" s="141"/>
      <c r="DF182" s="140">
        <f t="shared" si="39"/>
        <v>0</v>
      </c>
      <c r="DG182" s="141"/>
      <c r="DH182" s="141"/>
      <c r="DI182" s="141"/>
      <c r="DJ182" s="141"/>
      <c r="DK182" s="141"/>
      <c r="DL182" s="141"/>
      <c r="DM182" s="141"/>
      <c r="DN182" s="140">
        <f t="shared" si="40"/>
        <v>0</v>
      </c>
      <c r="DO182" s="141"/>
      <c r="DP182" s="141"/>
      <c r="DQ182" s="141"/>
      <c r="DR182" s="141"/>
      <c r="DS182" s="141"/>
      <c r="DT182" s="141"/>
      <c r="DU182" s="141"/>
      <c r="DV182" s="140">
        <f>'Výkaz výměr'!L192</f>
        <v>4.45901</v>
      </c>
      <c r="DW182" s="141"/>
      <c r="DX182" s="141"/>
      <c r="DY182" s="141"/>
      <c r="DZ182" s="141"/>
      <c r="EA182" s="141"/>
      <c r="EB182" s="141"/>
      <c r="EC182" s="141"/>
      <c r="ED182" s="140">
        <f t="shared" si="41"/>
        <v>35.67208</v>
      </c>
      <c r="EE182" s="141"/>
      <c r="EF182" s="141"/>
      <c r="EG182" s="141"/>
      <c r="EH182" s="141"/>
      <c r="EI182" s="141"/>
      <c r="EJ182" s="141"/>
      <c r="EK182" s="141"/>
      <c r="EL182" s="142" t="s">
        <v>559</v>
      </c>
      <c r="EM182" s="143"/>
      <c r="EN182" s="143"/>
      <c r="EO182" s="143"/>
      <c r="EP182" s="143"/>
      <c r="EQ182" s="143"/>
      <c r="IR182" s="43">
        <f>CP182*0.804331006697875</f>
        <v>0</v>
      </c>
      <c r="IS182" s="43">
        <f>CP182*(1-0.804331006697875)</f>
        <v>0</v>
      </c>
    </row>
    <row r="183" spans="1:253" ht="12.75">
      <c r="A183" s="142" t="s">
        <v>160</v>
      </c>
      <c r="B183" s="143"/>
      <c r="C183" s="142" t="s">
        <v>199</v>
      </c>
      <c r="D183" s="143"/>
      <c r="E183" s="143"/>
      <c r="F183" s="142" t="s">
        <v>311</v>
      </c>
      <c r="G183" s="143"/>
      <c r="H183" s="143"/>
      <c r="I183" s="143"/>
      <c r="J183" s="143"/>
      <c r="K183" s="143"/>
      <c r="L183" s="142" t="s">
        <v>477</v>
      </c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2" t="s">
        <v>534</v>
      </c>
      <c r="AT183" s="143"/>
      <c r="AU183" s="142" t="s">
        <v>715</v>
      </c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0">
        <f>'Výkaz výměr'!F194</f>
        <v>13</v>
      </c>
      <c r="CL183" s="141"/>
      <c r="CM183" s="141"/>
      <c r="CN183" s="141"/>
      <c r="CO183" s="141"/>
      <c r="CP183" s="140">
        <f>'Výkaz výměr'!G194</f>
        <v>0</v>
      </c>
      <c r="CQ183" s="141"/>
      <c r="CR183" s="141"/>
      <c r="CS183" s="141"/>
      <c r="CT183" s="141"/>
      <c r="CU183" s="141"/>
      <c r="CV183" s="141"/>
      <c r="CW183" s="141"/>
      <c r="CX183" s="140">
        <f t="shared" si="38"/>
        <v>0</v>
      </c>
      <c r="CY183" s="141"/>
      <c r="CZ183" s="141"/>
      <c r="DA183" s="141"/>
      <c r="DB183" s="141"/>
      <c r="DC183" s="141"/>
      <c r="DD183" s="141"/>
      <c r="DE183" s="141"/>
      <c r="DF183" s="140">
        <f t="shared" si="39"/>
        <v>0</v>
      </c>
      <c r="DG183" s="141"/>
      <c r="DH183" s="141"/>
      <c r="DI183" s="141"/>
      <c r="DJ183" s="141"/>
      <c r="DK183" s="141"/>
      <c r="DL183" s="141"/>
      <c r="DM183" s="141"/>
      <c r="DN183" s="140">
        <f t="shared" si="40"/>
        <v>0</v>
      </c>
      <c r="DO183" s="141"/>
      <c r="DP183" s="141"/>
      <c r="DQ183" s="141"/>
      <c r="DR183" s="141"/>
      <c r="DS183" s="141"/>
      <c r="DT183" s="141"/>
      <c r="DU183" s="141"/>
      <c r="DV183" s="140">
        <f>'Výkaz výměr'!L194</f>
        <v>0.81765</v>
      </c>
      <c r="DW183" s="141"/>
      <c r="DX183" s="141"/>
      <c r="DY183" s="141"/>
      <c r="DZ183" s="141"/>
      <c r="EA183" s="141"/>
      <c r="EB183" s="141"/>
      <c r="EC183" s="141"/>
      <c r="ED183" s="140">
        <f t="shared" si="41"/>
        <v>10.62945</v>
      </c>
      <c r="EE183" s="141"/>
      <c r="EF183" s="141"/>
      <c r="EG183" s="141"/>
      <c r="EH183" s="141"/>
      <c r="EI183" s="141"/>
      <c r="EJ183" s="141"/>
      <c r="EK183" s="141"/>
      <c r="EL183" s="142" t="s">
        <v>560</v>
      </c>
      <c r="EM183" s="143"/>
      <c r="EN183" s="143"/>
      <c r="EO183" s="143"/>
      <c r="EP183" s="143"/>
      <c r="EQ183" s="143"/>
      <c r="IR183" s="43">
        <f>CP183*0.772777179894994</f>
        <v>0</v>
      </c>
      <c r="IS183" s="43">
        <f>CP183*(1-0.772777179894994)</f>
        <v>0</v>
      </c>
    </row>
    <row r="184" spans="1:253" ht="12.75">
      <c r="A184" s="142" t="s">
        <v>161</v>
      </c>
      <c r="B184" s="143"/>
      <c r="C184" s="142" t="s">
        <v>199</v>
      </c>
      <c r="D184" s="143"/>
      <c r="E184" s="143"/>
      <c r="F184" s="142" t="s">
        <v>312</v>
      </c>
      <c r="G184" s="143"/>
      <c r="H184" s="143"/>
      <c r="I184" s="143"/>
      <c r="J184" s="143"/>
      <c r="K184" s="143"/>
      <c r="L184" s="142" t="s">
        <v>479</v>
      </c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2" t="s">
        <v>536</v>
      </c>
      <c r="AT184" s="143"/>
      <c r="AU184" s="142" t="s">
        <v>716</v>
      </c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0">
        <f>'Výkaz výměr'!F196</f>
        <v>16</v>
      </c>
      <c r="CL184" s="141"/>
      <c r="CM184" s="141"/>
      <c r="CN184" s="141"/>
      <c r="CO184" s="141"/>
      <c r="CP184" s="140">
        <f>'Výkaz výměr'!G196</f>
        <v>0</v>
      </c>
      <c r="CQ184" s="141"/>
      <c r="CR184" s="141"/>
      <c r="CS184" s="141"/>
      <c r="CT184" s="141"/>
      <c r="CU184" s="141"/>
      <c r="CV184" s="141"/>
      <c r="CW184" s="141"/>
      <c r="CX184" s="140">
        <f t="shared" si="38"/>
        <v>0</v>
      </c>
      <c r="CY184" s="141"/>
      <c r="CZ184" s="141"/>
      <c r="DA184" s="141"/>
      <c r="DB184" s="141"/>
      <c r="DC184" s="141"/>
      <c r="DD184" s="141"/>
      <c r="DE184" s="141"/>
      <c r="DF184" s="140">
        <f t="shared" si="39"/>
        <v>0</v>
      </c>
      <c r="DG184" s="141"/>
      <c r="DH184" s="141"/>
      <c r="DI184" s="141"/>
      <c r="DJ184" s="141"/>
      <c r="DK184" s="141"/>
      <c r="DL184" s="141"/>
      <c r="DM184" s="141"/>
      <c r="DN184" s="140">
        <f t="shared" si="40"/>
        <v>0</v>
      </c>
      <c r="DO184" s="141"/>
      <c r="DP184" s="141"/>
      <c r="DQ184" s="141"/>
      <c r="DR184" s="141"/>
      <c r="DS184" s="141"/>
      <c r="DT184" s="141"/>
      <c r="DU184" s="141"/>
      <c r="DV184" s="140">
        <f>'Výkaz výměr'!L196</f>
        <v>0.00032</v>
      </c>
      <c r="DW184" s="141"/>
      <c r="DX184" s="141"/>
      <c r="DY184" s="141"/>
      <c r="DZ184" s="141"/>
      <c r="EA184" s="141"/>
      <c r="EB184" s="141"/>
      <c r="EC184" s="141"/>
      <c r="ED184" s="140">
        <f t="shared" si="41"/>
        <v>0.00512</v>
      </c>
      <c r="EE184" s="141"/>
      <c r="EF184" s="141"/>
      <c r="EG184" s="141"/>
      <c r="EH184" s="141"/>
      <c r="EI184" s="141"/>
      <c r="EJ184" s="141"/>
      <c r="EK184" s="141"/>
      <c r="EL184" s="142" t="s">
        <v>559</v>
      </c>
      <c r="EM184" s="143"/>
      <c r="EN184" s="143"/>
      <c r="EO184" s="143"/>
      <c r="EP184" s="143"/>
      <c r="EQ184" s="143"/>
      <c r="IR184" s="43">
        <f>CP184*0.171838604143948</f>
        <v>0</v>
      </c>
      <c r="IS184" s="43">
        <f>CP184*(1-0.171838604143948)</f>
        <v>0</v>
      </c>
    </row>
    <row r="185" spans="1:253" ht="12.75">
      <c r="A185" s="142" t="s">
        <v>162</v>
      </c>
      <c r="B185" s="143"/>
      <c r="C185" s="142" t="s">
        <v>199</v>
      </c>
      <c r="D185" s="143"/>
      <c r="E185" s="143"/>
      <c r="F185" s="142" t="s">
        <v>313</v>
      </c>
      <c r="G185" s="143"/>
      <c r="H185" s="143"/>
      <c r="I185" s="143"/>
      <c r="J185" s="143"/>
      <c r="K185" s="143"/>
      <c r="L185" s="142" t="s">
        <v>480</v>
      </c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2" t="s">
        <v>537</v>
      </c>
      <c r="AT185" s="143"/>
      <c r="AU185" s="142" t="s">
        <v>717</v>
      </c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0">
        <f>'Výkaz výměr'!F197</f>
        <v>37</v>
      </c>
      <c r="CL185" s="141"/>
      <c r="CM185" s="141"/>
      <c r="CN185" s="141"/>
      <c r="CO185" s="141"/>
      <c r="CP185" s="140">
        <f>'Výkaz výměr'!G197</f>
        <v>0</v>
      </c>
      <c r="CQ185" s="141"/>
      <c r="CR185" s="141"/>
      <c r="CS185" s="141"/>
      <c r="CT185" s="141"/>
      <c r="CU185" s="141"/>
      <c r="CV185" s="141"/>
      <c r="CW185" s="141"/>
      <c r="CX185" s="140">
        <f t="shared" si="38"/>
        <v>0</v>
      </c>
      <c r="CY185" s="141"/>
      <c r="CZ185" s="141"/>
      <c r="DA185" s="141"/>
      <c r="DB185" s="141"/>
      <c r="DC185" s="141"/>
      <c r="DD185" s="141"/>
      <c r="DE185" s="141"/>
      <c r="DF185" s="140">
        <f t="shared" si="39"/>
        <v>0</v>
      </c>
      <c r="DG185" s="141"/>
      <c r="DH185" s="141"/>
      <c r="DI185" s="141"/>
      <c r="DJ185" s="141"/>
      <c r="DK185" s="141"/>
      <c r="DL185" s="141"/>
      <c r="DM185" s="141"/>
      <c r="DN185" s="140">
        <f t="shared" si="40"/>
        <v>0</v>
      </c>
      <c r="DO185" s="141"/>
      <c r="DP185" s="141"/>
      <c r="DQ185" s="141"/>
      <c r="DR185" s="141"/>
      <c r="DS185" s="141"/>
      <c r="DT185" s="141"/>
      <c r="DU185" s="141"/>
      <c r="DV185" s="140">
        <f>'Výkaz výměr'!L197</f>
        <v>2E-05</v>
      </c>
      <c r="DW185" s="141"/>
      <c r="DX185" s="141"/>
      <c r="DY185" s="141"/>
      <c r="DZ185" s="141"/>
      <c r="EA185" s="141"/>
      <c r="EB185" s="141"/>
      <c r="EC185" s="141"/>
      <c r="ED185" s="140">
        <f t="shared" si="41"/>
        <v>0.0007400000000000001</v>
      </c>
      <c r="EE185" s="141"/>
      <c r="EF185" s="141"/>
      <c r="EG185" s="141"/>
      <c r="EH185" s="141"/>
      <c r="EI185" s="141"/>
      <c r="EJ185" s="141"/>
      <c r="EK185" s="141"/>
      <c r="EL185" s="142" t="s">
        <v>559</v>
      </c>
      <c r="EM185" s="143"/>
      <c r="EN185" s="143"/>
      <c r="EO185" s="143"/>
      <c r="EP185" s="143"/>
      <c r="EQ185" s="143"/>
      <c r="IR185" s="43">
        <f>CP185*0.330769230769231</f>
        <v>0</v>
      </c>
      <c r="IS185" s="43">
        <f>CP185*(1-0.330769230769231)</f>
        <v>0</v>
      </c>
    </row>
    <row r="186" spans="1:253" ht="12.75">
      <c r="A186" s="142" t="s">
        <v>163</v>
      </c>
      <c r="B186" s="143"/>
      <c r="C186" s="142" t="s">
        <v>199</v>
      </c>
      <c r="D186" s="143"/>
      <c r="E186" s="143"/>
      <c r="F186" s="142" t="s">
        <v>314</v>
      </c>
      <c r="G186" s="143"/>
      <c r="H186" s="143"/>
      <c r="I186" s="143"/>
      <c r="J186" s="143"/>
      <c r="K186" s="143"/>
      <c r="L186" s="142" t="s">
        <v>481</v>
      </c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2" t="s">
        <v>526</v>
      </c>
      <c r="AT186" s="143"/>
      <c r="AU186" s="142" t="s">
        <v>718</v>
      </c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0">
        <f>'Výkaz výměr'!F198</f>
        <v>453.15</v>
      </c>
      <c r="CL186" s="141"/>
      <c r="CM186" s="141"/>
      <c r="CN186" s="141"/>
      <c r="CO186" s="141"/>
      <c r="CP186" s="140">
        <f>'Výkaz výměr'!G198</f>
        <v>0</v>
      </c>
      <c r="CQ186" s="141"/>
      <c r="CR186" s="141"/>
      <c r="CS186" s="141"/>
      <c r="CT186" s="141"/>
      <c r="CU186" s="141"/>
      <c r="CV186" s="141"/>
      <c r="CW186" s="141"/>
      <c r="CX186" s="140">
        <f t="shared" si="38"/>
        <v>0</v>
      </c>
      <c r="CY186" s="141"/>
      <c r="CZ186" s="141"/>
      <c r="DA186" s="141"/>
      <c r="DB186" s="141"/>
      <c r="DC186" s="141"/>
      <c r="DD186" s="141"/>
      <c r="DE186" s="141"/>
      <c r="DF186" s="140">
        <f t="shared" si="39"/>
        <v>0</v>
      </c>
      <c r="DG186" s="141"/>
      <c r="DH186" s="141"/>
      <c r="DI186" s="141"/>
      <c r="DJ186" s="141"/>
      <c r="DK186" s="141"/>
      <c r="DL186" s="141"/>
      <c r="DM186" s="141"/>
      <c r="DN186" s="140">
        <f t="shared" si="40"/>
        <v>0</v>
      </c>
      <c r="DO186" s="141"/>
      <c r="DP186" s="141"/>
      <c r="DQ186" s="141"/>
      <c r="DR186" s="141"/>
      <c r="DS186" s="141"/>
      <c r="DT186" s="141"/>
      <c r="DU186" s="141"/>
      <c r="DV186" s="140">
        <f>'Výkaz výměr'!L198</f>
        <v>0</v>
      </c>
      <c r="DW186" s="141"/>
      <c r="DX186" s="141"/>
      <c r="DY186" s="141"/>
      <c r="DZ186" s="141"/>
      <c r="EA186" s="141"/>
      <c r="EB186" s="141"/>
      <c r="EC186" s="141"/>
      <c r="ED186" s="140">
        <f t="shared" si="41"/>
        <v>0</v>
      </c>
      <c r="EE186" s="141"/>
      <c r="EF186" s="141"/>
      <c r="EG186" s="141"/>
      <c r="EH186" s="141"/>
      <c r="EI186" s="141"/>
      <c r="EJ186" s="141"/>
      <c r="EK186" s="141"/>
      <c r="EL186" s="142" t="s">
        <v>559</v>
      </c>
      <c r="EM186" s="143"/>
      <c r="EN186" s="143"/>
      <c r="EO186" s="143"/>
      <c r="EP186" s="143"/>
      <c r="EQ186" s="143"/>
      <c r="IR186" s="43">
        <f>CP186*0.00703862660944206</f>
        <v>0</v>
      </c>
      <c r="IS186" s="43">
        <f>CP186*(1-0.00703862660944206)</f>
        <v>0</v>
      </c>
    </row>
    <row r="187" spans="1:253" ht="12.75">
      <c r="A187" s="142" t="s">
        <v>164</v>
      </c>
      <c r="B187" s="143"/>
      <c r="C187" s="142" t="s">
        <v>199</v>
      </c>
      <c r="D187" s="143"/>
      <c r="E187" s="143"/>
      <c r="F187" s="142" t="s">
        <v>315</v>
      </c>
      <c r="G187" s="143"/>
      <c r="H187" s="143"/>
      <c r="I187" s="143"/>
      <c r="J187" s="143"/>
      <c r="K187" s="143"/>
      <c r="L187" s="142" t="s">
        <v>482</v>
      </c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2" t="s">
        <v>526</v>
      </c>
      <c r="AT187" s="143"/>
      <c r="AU187" s="142" t="s">
        <v>719</v>
      </c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0">
        <f>'Výkaz výměr'!F199</f>
        <v>453.15</v>
      </c>
      <c r="CL187" s="141"/>
      <c r="CM187" s="141"/>
      <c r="CN187" s="141"/>
      <c r="CO187" s="141"/>
      <c r="CP187" s="140">
        <f>'Výkaz výměr'!G199</f>
        <v>0</v>
      </c>
      <c r="CQ187" s="141"/>
      <c r="CR187" s="141"/>
      <c r="CS187" s="141"/>
      <c r="CT187" s="141"/>
      <c r="CU187" s="141"/>
      <c r="CV187" s="141"/>
      <c r="CW187" s="141"/>
      <c r="CX187" s="140">
        <f t="shared" si="38"/>
        <v>0</v>
      </c>
      <c r="CY187" s="141"/>
      <c r="CZ187" s="141"/>
      <c r="DA187" s="141"/>
      <c r="DB187" s="141"/>
      <c r="DC187" s="141"/>
      <c r="DD187" s="141"/>
      <c r="DE187" s="141"/>
      <c r="DF187" s="140">
        <f t="shared" si="39"/>
        <v>0</v>
      </c>
      <c r="DG187" s="141"/>
      <c r="DH187" s="141"/>
      <c r="DI187" s="141"/>
      <c r="DJ187" s="141"/>
      <c r="DK187" s="141"/>
      <c r="DL187" s="141"/>
      <c r="DM187" s="141"/>
      <c r="DN187" s="140">
        <f t="shared" si="40"/>
        <v>0</v>
      </c>
      <c r="DO187" s="141"/>
      <c r="DP187" s="141"/>
      <c r="DQ187" s="141"/>
      <c r="DR187" s="141"/>
      <c r="DS187" s="141"/>
      <c r="DT187" s="141"/>
      <c r="DU187" s="141"/>
      <c r="DV187" s="140">
        <f>'Výkaz výměr'!L199</f>
        <v>0</v>
      </c>
      <c r="DW187" s="141"/>
      <c r="DX187" s="141"/>
      <c r="DY187" s="141"/>
      <c r="DZ187" s="141"/>
      <c r="EA187" s="141"/>
      <c r="EB187" s="141"/>
      <c r="EC187" s="141"/>
      <c r="ED187" s="140">
        <f t="shared" si="41"/>
        <v>0</v>
      </c>
      <c r="EE187" s="141"/>
      <c r="EF187" s="141"/>
      <c r="EG187" s="141"/>
      <c r="EH187" s="141"/>
      <c r="EI187" s="141"/>
      <c r="EJ187" s="141"/>
      <c r="EK187" s="141"/>
      <c r="EL187" s="142" t="s">
        <v>559</v>
      </c>
      <c r="EM187" s="143"/>
      <c r="EN187" s="143"/>
      <c r="EO187" s="143"/>
      <c r="EP187" s="143"/>
      <c r="EQ187" s="143"/>
      <c r="IR187" s="43">
        <f>CP187*0.126639344262295</f>
        <v>0</v>
      </c>
      <c r="IS187" s="43">
        <f>CP187*(1-0.126639344262295)</f>
        <v>0</v>
      </c>
    </row>
    <row r="188" spans="1:253" ht="12.75">
      <c r="A188" s="142" t="s">
        <v>165</v>
      </c>
      <c r="B188" s="143"/>
      <c r="C188" s="142" t="s">
        <v>199</v>
      </c>
      <c r="D188" s="143"/>
      <c r="E188" s="143"/>
      <c r="F188" s="142" t="s">
        <v>316</v>
      </c>
      <c r="G188" s="143"/>
      <c r="H188" s="143"/>
      <c r="I188" s="143"/>
      <c r="J188" s="143"/>
      <c r="K188" s="143"/>
      <c r="L188" s="142" t="s">
        <v>483</v>
      </c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2" t="s">
        <v>526</v>
      </c>
      <c r="AT188" s="143"/>
      <c r="AU188" s="142" t="s">
        <v>720</v>
      </c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0">
        <f>'Výkaz výměr'!F200</f>
        <v>272.85</v>
      </c>
      <c r="CL188" s="141"/>
      <c r="CM188" s="141"/>
      <c r="CN188" s="141"/>
      <c r="CO188" s="141"/>
      <c r="CP188" s="140">
        <f>'Výkaz výměr'!G200</f>
        <v>0</v>
      </c>
      <c r="CQ188" s="141"/>
      <c r="CR188" s="141"/>
      <c r="CS188" s="141"/>
      <c r="CT188" s="141"/>
      <c r="CU188" s="141"/>
      <c r="CV188" s="141"/>
      <c r="CW188" s="141"/>
      <c r="CX188" s="140">
        <f t="shared" si="38"/>
        <v>0</v>
      </c>
      <c r="CY188" s="141"/>
      <c r="CZ188" s="141"/>
      <c r="DA188" s="141"/>
      <c r="DB188" s="141"/>
      <c r="DC188" s="141"/>
      <c r="DD188" s="141"/>
      <c r="DE188" s="141"/>
      <c r="DF188" s="140">
        <f t="shared" si="39"/>
        <v>0</v>
      </c>
      <c r="DG188" s="141"/>
      <c r="DH188" s="141"/>
      <c r="DI188" s="141"/>
      <c r="DJ188" s="141"/>
      <c r="DK188" s="141"/>
      <c r="DL188" s="141"/>
      <c r="DM188" s="141"/>
      <c r="DN188" s="140">
        <f t="shared" si="40"/>
        <v>0</v>
      </c>
      <c r="DO188" s="141"/>
      <c r="DP188" s="141"/>
      <c r="DQ188" s="141"/>
      <c r="DR188" s="141"/>
      <c r="DS188" s="141"/>
      <c r="DT188" s="141"/>
      <c r="DU188" s="141"/>
      <c r="DV188" s="140">
        <f>'Výkaz výměr'!L200</f>
        <v>0</v>
      </c>
      <c r="DW188" s="141"/>
      <c r="DX188" s="141"/>
      <c r="DY188" s="141"/>
      <c r="DZ188" s="141"/>
      <c r="EA188" s="141"/>
      <c r="EB188" s="141"/>
      <c r="EC188" s="141"/>
      <c r="ED188" s="140">
        <f t="shared" si="41"/>
        <v>0</v>
      </c>
      <c r="EE188" s="141"/>
      <c r="EF188" s="141"/>
      <c r="EG188" s="141"/>
      <c r="EH188" s="141"/>
      <c r="EI188" s="141"/>
      <c r="EJ188" s="141"/>
      <c r="EK188" s="141"/>
      <c r="EL188" s="142" t="s">
        <v>559</v>
      </c>
      <c r="EM188" s="143"/>
      <c r="EN188" s="143"/>
      <c r="EO188" s="143"/>
      <c r="EP188" s="143"/>
      <c r="EQ188" s="143"/>
      <c r="IR188" s="43">
        <f>CP188*0</f>
        <v>0</v>
      </c>
      <c r="IS188" s="43">
        <f>CP188*(1-0)</f>
        <v>0</v>
      </c>
    </row>
    <row r="189" spans="1:147" ht="12.75">
      <c r="A189" s="136" t="s">
        <v>5</v>
      </c>
      <c r="B189" s="137"/>
      <c r="C189" s="136" t="s">
        <v>5</v>
      </c>
      <c r="D189" s="137"/>
      <c r="E189" s="137"/>
      <c r="F189" s="136" t="s">
        <v>94</v>
      </c>
      <c r="G189" s="137"/>
      <c r="H189" s="137"/>
      <c r="I189" s="137"/>
      <c r="J189" s="137"/>
      <c r="K189" s="137"/>
      <c r="L189" s="136" t="s">
        <v>484</v>
      </c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6" t="s">
        <v>5</v>
      </c>
      <c r="AT189" s="137"/>
      <c r="AU189" s="136" t="s">
        <v>5</v>
      </c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8" t="s">
        <v>5</v>
      </c>
      <c r="CL189" s="139"/>
      <c r="CM189" s="139"/>
      <c r="CN189" s="139"/>
      <c r="CO189" s="139"/>
      <c r="CP189" s="138" t="s">
        <v>5</v>
      </c>
      <c r="CQ189" s="139"/>
      <c r="CR189" s="139"/>
      <c r="CS189" s="139"/>
      <c r="CT189" s="139"/>
      <c r="CU189" s="139"/>
      <c r="CV189" s="139"/>
      <c r="CW189" s="139"/>
      <c r="CX189" s="134">
        <f>SUM(CX190:CX197)</f>
        <v>0</v>
      </c>
      <c r="CY189" s="135"/>
      <c r="CZ189" s="135"/>
      <c r="DA189" s="135"/>
      <c r="DB189" s="135"/>
      <c r="DC189" s="135"/>
      <c r="DD189" s="135"/>
      <c r="DE189" s="135"/>
      <c r="DF189" s="144">
        <f>SUM(DF190:DF197)</f>
        <v>0</v>
      </c>
      <c r="DG189" s="139"/>
      <c r="DH189" s="139"/>
      <c r="DI189" s="139"/>
      <c r="DJ189" s="139"/>
      <c r="DK189" s="139"/>
      <c r="DL189" s="139"/>
      <c r="DM189" s="139"/>
      <c r="DN189" s="144">
        <f>SUM(DN190:DN197)</f>
        <v>0</v>
      </c>
      <c r="DO189" s="139"/>
      <c r="DP189" s="139"/>
      <c r="DQ189" s="139"/>
      <c r="DR189" s="139"/>
      <c r="DS189" s="139"/>
      <c r="DT189" s="139"/>
      <c r="DU189" s="139"/>
      <c r="DV189" s="138" t="s">
        <v>5</v>
      </c>
      <c r="DW189" s="139"/>
      <c r="DX189" s="139"/>
      <c r="DY189" s="139"/>
      <c r="DZ189" s="139"/>
      <c r="EA189" s="139"/>
      <c r="EB189" s="139"/>
      <c r="EC189" s="139"/>
      <c r="ED189" s="144">
        <f>SUM(ED190:ED197)</f>
        <v>597.632046</v>
      </c>
      <c r="EE189" s="139"/>
      <c r="EF189" s="139"/>
      <c r="EG189" s="139"/>
      <c r="EH189" s="139"/>
      <c r="EI189" s="139"/>
      <c r="EJ189" s="139"/>
      <c r="EK189" s="139"/>
      <c r="EL189" s="136" t="s">
        <v>5</v>
      </c>
      <c r="EM189" s="137"/>
      <c r="EN189" s="137"/>
      <c r="EO189" s="137"/>
      <c r="EP189" s="137"/>
      <c r="EQ189" s="137"/>
    </row>
    <row r="190" spans="1:253" ht="12.75">
      <c r="A190" s="142" t="s">
        <v>166</v>
      </c>
      <c r="B190" s="143"/>
      <c r="C190" s="142" t="s">
        <v>199</v>
      </c>
      <c r="D190" s="143"/>
      <c r="E190" s="143"/>
      <c r="F190" s="142" t="s">
        <v>317</v>
      </c>
      <c r="G190" s="143"/>
      <c r="H190" s="143"/>
      <c r="I190" s="143"/>
      <c r="J190" s="143"/>
      <c r="K190" s="143"/>
      <c r="L190" s="142" t="s">
        <v>485</v>
      </c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2" t="s">
        <v>534</v>
      </c>
      <c r="AT190" s="143"/>
      <c r="AU190" s="142" t="s">
        <v>711</v>
      </c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0">
        <f>'Výkaz výměr'!F202</f>
        <v>24</v>
      </c>
      <c r="CL190" s="141"/>
      <c r="CM190" s="141"/>
      <c r="CN190" s="141"/>
      <c r="CO190" s="141"/>
      <c r="CP190" s="140">
        <f>'Výkaz výměr'!G202</f>
        <v>0</v>
      </c>
      <c r="CQ190" s="141"/>
      <c r="CR190" s="141"/>
      <c r="CS190" s="141"/>
      <c r="CT190" s="141"/>
      <c r="CU190" s="141"/>
      <c r="CV190" s="141"/>
      <c r="CW190" s="141"/>
      <c r="CX190" s="140">
        <f aca="true" t="shared" si="42" ref="CX190:CX197">IR190*CK190</f>
        <v>0</v>
      </c>
      <c r="CY190" s="141"/>
      <c r="CZ190" s="141"/>
      <c r="DA190" s="141"/>
      <c r="DB190" s="141"/>
      <c r="DC190" s="141"/>
      <c r="DD190" s="141"/>
      <c r="DE190" s="141"/>
      <c r="DF190" s="140">
        <f aca="true" t="shared" si="43" ref="DF190:DF197">IS190*CK190</f>
        <v>0</v>
      </c>
      <c r="DG190" s="141"/>
      <c r="DH190" s="141"/>
      <c r="DI190" s="141"/>
      <c r="DJ190" s="141"/>
      <c r="DK190" s="141"/>
      <c r="DL190" s="141"/>
      <c r="DM190" s="141"/>
      <c r="DN190" s="140">
        <f aca="true" t="shared" si="44" ref="DN190:DN197">IR190*CK190+IS190*CK190</f>
        <v>0</v>
      </c>
      <c r="DO190" s="141"/>
      <c r="DP190" s="141"/>
      <c r="DQ190" s="141"/>
      <c r="DR190" s="141"/>
      <c r="DS190" s="141"/>
      <c r="DT190" s="141"/>
      <c r="DU190" s="141"/>
      <c r="DV190" s="140">
        <f>'Výkaz výměr'!L202</f>
        <v>0.06492</v>
      </c>
      <c r="DW190" s="141"/>
      <c r="DX190" s="141"/>
      <c r="DY190" s="141"/>
      <c r="DZ190" s="141"/>
      <c r="EA190" s="141"/>
      <c r="EB190" s="141"/>
      <c r="EC190" s="141"/>
      <c r="ED190" s="140">
        <f aca="true" t="shared" si="45" ref="ED190:ED197">DV190*CK190</f>
        <v>1.5580800000000001</v>
      </c>
      <c r="EE190" s="141"/>
      <c r="EF190" s="141"/>
      <c r="EG190" s="141"/>
      <c r="EH190" s="141"/>
      <c r="EI190" s="141"/>
      <c r="EJ190" s="141"/>
      <c r="EK190" s="141"/>
      <c r="EL190" s="142" t="s">
        <v>559</v>
      </c>
      <c r="EM190" s="143"/>
      <c r="EN190" s="143"/>
      <c r="EO190" s="143"/>
      <c r="EP190" s="143"/>
      <c r="EQ190" s="143"/>
      <c r="IR190" s="43">
        <f>CP190*0.941179458862507</f>
        <v>0</v>
      </c>
      <c r="IS190" s="43">
        <f>CP190*(1-0.941179458862507)</f>
        <v>0</v>
      </c>
    </row>
    <row r="191" spans="1:253" ht="12.75">
      <c r="A191" s="142" t="s">
        <v>167</v>
      </c>
      <c r="B191" s="143"/>
      <c r="C191" s="142" t="s">
        <v>199</v>
      </c>
      <c r="D191" s="143"/>
      <c r="E191" s="143"/>
      <c r="F191" s="142" t="s">
        <v>318</v>
      </c>
      <c r="G191" s="143"/>
      <c r="H191" s="143"/>
      <c r="I191" s="143"/>
      <c r="J191" s="143"/>
      <c r="K191" s="143"/>
      <c r="L191" s="142" t="s">
        <v>487</v>
      </c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2" t="s">
        <v>526</v>
      </c>
      <c r="AT191" s="143"/>
      <c r="AU191" s="142" t="s">
        <v>721</v>
      </c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0">
        <f>'Výkaz výměr'!F204</f>
        <v>133.8</v>
      </c>
      <c r="CL191" s="141"/>
      <c r="CM191" s="141"/>
      <c r="CN191" s="141"/>
      <c r="CO191" s="141"/>
      <c r="CP191" s="140">
        <f>'Výkaz výměr'!G204</f>
        <v>0</v>
      </c>
      <c r="CQ191" s="141"/>
      <c r="CR191" s="141"/>
      <c r="CS191" s="141"/>
      <c r="CT191" s="141"/>
      <c r="CU191" s="141"/>
      <c r="CV191" s="141"/>
      <c r="CW191" s="141"/>
      <c r="CX191" s="140">
        <f t="shared" si="42"/>
        <v>0</v>
      </c>
      <c r="CY191" s="141"/>
      <c r="CZ191" s="141"/>
      <c r="DA191" s="141"/>
      <c r="DB191" s="141"/>
      <c r="DC191" s="141"/>
      <c r="DD191" s="141"/>
      <c r="DE191" s="141"/>
      <c r="DF191" s="140">
        <f t="shared" si="43"/>
        <v>0</v>
      </c>
      <c r="DG191" s="141"/>
      <c r="DH191" s="141"/>
      <c r="DI191" s="141"/>
      <c r="DJ191" s="141"/>
      <c r="DK191" s="141"/>
      <c r="DL191" s="141"/>
      <c r="DM191" s="141"/>
      <c r="DN191" s="140">
        <f t="shared" si="44"/>
        <v>0</v>
      </c>
      <c r="DO191" s="141"/>
      <c r="DP191" s="141"/>
      <c r="DQ191" s="141"/>
      <c r="DR191" s="141"/>
      <c r="DS191" s="141"/>
      <c r="DT191" s="141"/>
      <c r="DU191" s="141"/>
      <c r="DV191" s="140">
        <f>'Výkaz výměr'!L204</f>
        <v>0.58717</v>
      </c>
      <c r="DW191" s="141"/>
      <c r="DX191" s="141"/>
      <c r="DY191" s="141"/>
      <c r="DZ191" s="141"/>
      <c r="EA191" s="141"/>
      <c r="EB191" s="141"/>
      <c r="EC191" s="141"/>
      <c r="ED191" s="140">
        <f t="shared" si="45"/>
        <v>78.563346</v>
      </c>
      <c r="EE191" s="141"/>
      <c r="EF191" s="141"/>
      <c r="EG191" s="141"/>
      <c r="EH191" s="141"/>
      <c r="EI191" s="141"/>
      <c r="EJ191" s="141"/>
      <c r="EK191" s="141"/>
      <c r="EL191" s="142" t="s">
        <v>559</v>
      </c>
      <c r="EM191" s="143"/>
      <c r="EN191" s="143"/>
      <c r="EO191" s="143"/>
      <c r="EP191" s="143"/>
      <c r="EQ191" s="143"/>
      <c r="IR191" s="43">
        <f>CP191*0.195667844522968</f>
        <v>0</v>
      </c>
      <c r="IS191" s="43">
        <f>CP191*(1-0.195667844522968)</f>
        <v>0</v>
      </c>
    </row>
    <row r="192" spans="1:253" ht="12.75">
      <c r="A192" s="142" t="s">
        <v>168</v>
      </c>
      <c r="B192" s="143"/>
      <c r="C192" s="142" t="s">
        <v>199</v>
      </c>
      <c r="D192" s="143"/>
      <c r="E192" s="143"/>
      <c r="F192" s="142" t="s">
        <v>319</v>
      </c>
      <c r="G192" s="143"/>
      <c r="H192" s="143"/>
      <c r="I192" s="143"/>
      <c r="J192" s="143"/>
      <c r="K192" s="143"/>
      <c r="L192" s="142" t="s">
        <v>489</v>
      </c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2" t="s">
        <v>526</v>
      </c>
      <c r="AT192" s="143"/>
      <c r="AU192" s="142" t="s">
        <v>722</v>
      </c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0">
        <f>'Výkaz výměr'!F206</f>
        <v>46.5</v>
      </c>
      <c r="CL192" s="141"/>
      <c r="CM192" s="141"/>
      <c r="CN192" s="141"/>
      <c r="CO192" s="141"/>
      <c r="CP192" s="140">
        <f>'Výkaz výměr'!G206</f>
        <v>0</v>
      </c>
      <c r="CQ192" s="141"/>
      <c r="CR192" s="141"/>
      <c r="CS192" s="141"/>
      <c r="CT192" s="141"/>
      <c r="CU192" s="141"/>
      <c r="CV192" s="141"/>
      <c r="CW192" s="141"/>
      <c r="CX192" s="140">
        <f t="shared" si="42"/>
        <v>0</v>
      </c>
      <c r="CY192" s="141"/>
      <c r="CZ192" s="141"/>
      <c r="DA192" s="141"/>
      <c r="DB192" s="141"/>
      <c r="DC192" s="141"/>
      <c r="DD192" s="141"/>
      <c r="DE192" s="141"/>
      <c r="DF192" s="140">
        <f t="shared" si="43"/>
        <v>0</v>
      </c>
      <c r="DG192" s="141"/>
      <c r="DH192" s="141"/>
      <c r="DI192" s="141"/>
      <c r="DJ192" s="141"/>
      <c r="DK192" s="141"/>
      <c r="DL192" s="141"/>
      <c r="DM192" s="141"/>
      <c r="DN192" s="140">
        <f t="shared" si="44"/>
        <v>0</v>
      </c>
      <c r="DO192" s="141"/>
      <c r="DP192" s="141"/>
      <c r="DQ192" s="141"/>
      <c r="DR192" s="141"/>
      <c r="DS192" s="141"/>
      <c r="DT192" s="141"/>
      <c r="DU192" s="141"/>
      <c r="DV192" s="140">
        <f>'Výkaz výměr'!L206</f>
        <v>0.58268</v>
      </c>
      <c r="DW192" s="141"/>
      <c r="DX192" s="141"/>
      <c r="DY192" s="141"/>
      <c r="DZ192" s="141"/>
      <c r="EA192" s="141"/>
      <c r="EB192" s="141"/>
      <c r="EC192" s="141"/>
      <c r="ED192" s="140">
        <f t="shared" si="45"/>
        <v>27.09462</v>
      </c>
      <c r="EE192" s="141"/>
      <c r="EF192" s="141"/>
      <c r="EG192" s="141"/>
      <c r="EH192" s="141"/>
      <c r="EI192" s="141"/>
      <c r="EJ192" s="141"/>
      <c r="EK192" s="141"/>
      <c r="EL192" s="142" t="s">
        <v>559</v>
      </c>
      <c r="EM192" s="143"/>
      <c r="EN192" s="143"/>
      <c r="EO192" s="143"/>
      <c r="EP192" s="143"/>
      <c r="EQ192" s="143"/>
      <c r="IR192" s="43">
        <f>CP192*0.255956130657937</f>
        <v>0</v>
      </c>
      <c r="IS192" s="43">
        <f>CP192*(1-0.255956130657937)</f>
        <v>0</v>
      </c>
    </row>
    <row r="193" spans="1:253" ht="12.75">
      <c r="A193" s="142" t="s">
        <v>169</v>
      </c>
      <c r="B193" s="143"/>
      <c r="C193" s="142" t="s">
        <v>199</v>
      </c>
      <c r="D193" s="143"/>
      <c r="E193" s="143"/>
      <c r="F193" s="142" t="s">
        <v>258</v>
      </c>
      <c r="G193" s="143"/>
      <c r="H193" s="143"/>
      <c r="I193" s="143"/>
      <c r="J193" s="143"/>
      <c r="K193" s="143"/>
      <c r="L193" s="142" t="s">
        <v>412</v>
      </c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2" t="s">
        <v>530</v>
      </c>
      <c r="AT193" s="143"/>
      <c r="AU193" s="142" t="s">
        <v>723</v>
      </c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0">
        <f>'Výkaz výměr'!F208</f>
        <v>288.48</v>
      </c>
      <c r="CL193" s="141"/>
      <c r="CM193" s="141"/>
      <c r="CN193" s="141"/>
      <c r="CO193" s="141"/>
      <c r="CP193" s="140">
        <f>'Výkaz výměr'!G208</f>
        <v>0</v>
      </c>
      <c r="CQ193" s="141"/>
      <c r="CR193" s="141"/>
      <c r="CS193" s="141"/>
      <c r="CT193" s="141"/>
      <c r="CU193" s="141"/>
      <c r="CV193" s="141"/>
      <c r="CW193" s="141"/>
      <c r="CX193" s="140">
        <f t="shared" si="42"/>
        <v>0</v>
      </c>
      <c r="CY193" s="141"/>
      <c r="CZ193" s="141"/>
      <c r="DA193" s="141"/>
      <c r="DB193" s="141"/>
      <c r="DC193" s="141"/>
      <c r="DD193" s="141"/>
      <c r="DE193" s="141"/>
      <c r="DF193" s="140">
        <f t="shared" si="43"/>
        <v>0</v>
      </c>
      <c r="DG193" s="141"/>
      <c r="DH193" s="141"/>
      <c r="DI193" s="141"/>
      <c r="DJ193" s="141"/>
      <c r="DK193" s="141"/>
      <c r="DL193" s="141"/>
      <c r="DM193" s="141"/>
      <c r="DN193" s="140">
        <f t="shared" si="44"/>
        <v>0</v>
      </c>
      <c r="DO193" s="141"/>
      <c r="DP193" s="141"/>
      <c r="DQ193" s="141"/>
      <c r="DR193" s="141"/>
      <c r="DS193" s="141"/>
      <c r="DT193" s="141"/>
      <c r="DU193" s="141"/>
      <c r="DV193" s="140">
        <f>'Výkaz výměr'!L208</f>
        <v>0</v>
      </c>
      <c r="DW193" s="141"/>
      <c r="DX193" s="141"/>
      <c r="DY193" s="141"/>
      <c r="DZ193" s="141"/>
      <c r="EA193" s="141"/>
      <c r="EB193" s="141"/>
      <c r="EC193" s="141"/>
      <c r="ED193" s="140">
        <f t="shared" si="45"/>
        <v>0</v>
      </c>
      <c r="EE193" s="141"/>
      <c r="EF193" s="141"/>
      <c r="EG193" s="141"/>
      <c r="EH193" s="141"/>
      <c r="EI193" s="141"/>
      <c r="EJ193" s="141"/>
      <c r="EK193" s="141"/>
      <c r="EL193" s="142" t="s">
        <v>559</v>
      </c>
      <c r="EM193" s="143"/>
      <c r="EN193" s="143"/>
      <c r="EO193" s="143"/>
      <c r="EP193" s="143"/>
      <c r="EQ193" s="143"/>
      <c r="IR193" s="43">
        <f>CP193*0</f>
        <v>0</v>
      </c>
      <c r="IS193" s="43">
        <f>CP193*(1-0)</f>
        <v>0</v>
      </c>
    </row>
    <row r="194" spans="1:253" ht="12.75">
      <c r="A194" s="132" t="s">
        <v>170</v>
      </c>
      <c r="B194" s="133"/>
      <c r="C194" s="132" t="s">
        <v>199</v>
      </c>
      <c r="D194" s="133"/>
      <c r="E194" s="133"/>
      <c r="F194" s="132" t="s">
        <v>259</v>
      </c>
      <c r="G194" s="133"/>
      <c r="H194" s="133"/>
      <c r="I194" s="133"/>
      <c r="J194" s="133"/>
      <c r="K194" s="133"/>
      <c r="L194" s="132" t="s">
        <v>413</v>
      </c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2" t="s">
        <v>529</v>
      </c>
      <c r="AT194" s="133"/>
      <c r="AU194" s="132" t="s">
        <v>724</v>
      </c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0">
        <f>'Výkaz výměr'!F209</f>
        <v>490.416</v>
      </c>
      <c r="CL194" s="131"/>
      <c r="CM194" s="131"/>
      <c r="CN194" s="131"/>
      <c r="CO194" s="131"/>
      <c r="CP194" s="130">
        <f>'Výkaz výměr'!G209</f>
        <v>0</v>
      </c>
      <c r="CQ194" s="131"/>
      <c r="CR194" s="131"/>
      <c r="CS194" s="131"/>
      <c r="CT194" s="131"/>
      <c r="CU194" s="131"/>
      <c r="CV194" s="131"/>
      <c r="CW194" s="131"/>
      <c r="CX194" s="130">
        <f t="shared" si="42"/>
        <v>0</v>
      </c>
      <c r="CY194" s="131"/>
      <c r="CZ194" s="131"/>
      <c r="DA194" s="131"/>
      <c r="DB194" s="131"/>
      <c r="DC194" s="131"/>
      <c r="DD194" s="131"/>
      <c r="DE194" s="131"/>
      <c r="DF194" s="130">
        <f t="shared" si="43"/>
        <v>0</v>
      </c>
      <c r="DG194" s="131"/>
      <c r="DH194" s="131"/>
      <c r="DI194" s="131"/>
      <c r="DJ194" s="131"/>
      <c r="DK194" s="131"/>
      <c r="DL194" s="131"/>
      <c r="DM194" s="131"/>
      <c r="DN194" s="130">
        <f t="shared" si="44"/>
        <v>0</v>
      </c>
      <c r="DO194" s="131"/>
      <c r="DP194" s="131"/>
      <c r="DQ194" s="131"/>
      <c r="DR194" s="131"/>
      <c r="DS194" s="131"/>
      <c r="DT194" s="131"/>
      <c r="DU194" s="131"/>
      <c r="DV194" s="130">
        <f>'Výkaz výměr'!L209</f>
        <v>1</v>
      </c>
      <c r="DW194" s="131"/>
      <c r="DX194" s="131"/>
      <c r="DY194" s="131"/>
      <c r="DZ194" s="131"/>
      <c r="EA194" s="131"/>
      <c r="EB194" s="131"/>
      <c r="EC194" s="131"/>
      <c r="ED194" s="130">
        <f t="shared" si="45"/>
        <v>490.416</v>
      </c>
      <c r="EE194" s="131"/>
      <c r="EF194" s="131"/>
      <c r="EG194" s="131"/>
      <c r="EH194" s="131"/>
      <c r="EI194" s="131"/>
      <c r="EJ194" s="131"/>
      <c r="EK194" s="131"/>
      <c r="EL194" s="132" t="s">
        <v>559</v>
      </c>
      <c r="EM194" s="133"/>
      <c r="EN194" s="133"/>
      <c r="EO194" s="133"/>
      <c r="EP194" s="133"/>
      <c r="EQ194" s="133"/>
      <c r="IR194" s="42">
        <f>CP194*1</f>
        <v>0</v>
      </c>
      <c r="IS194" s="42">
        <f>CP194*(1-1)</f>
        <v>0</v>
      </c>
    </row>
    <row r="195" spans="1:253" ht="12.75">
      <c r="A195" s="142" t="s">
        <v>171</v>
      </c>
      <c r="B195" s="143"/>
      <c r="C195" s="142" t="s">
        <v>199</v>
      </c>
      <c r="D195" s="143"/>
      <c r="E195" s="143"/>
      <c r="F195" s="142" t="s">
        <v>214</v>
      </c>
      <c r="G195" s="143"/>
      <c r="H195" s="143"/>
      <c r="I195" s="143"/>
      <c r="J195" s="143"/>
      <c r="K195" s="143"/>
      <c r="L195" s="142" t="s">
        <v>370</v>
      </c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2" t="s">
        <v>530</v>
      </c>
      <c r="AT195" s="143"/>
      <c r="AU195" s="142" t="s">
        <v>725</v>
      </c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0">
        <f>'Výkaz výměr'!F210</f>
        <v>288.48</v>
      </c>
      <c r="CL195" s="141"/>
      <c r="CM195" s="141"/>
      <c r="CN195" s="141"/>
      <c r="CO195" s="141"/>
      <c r="CP195" s="140">
        <f>'Výkaz výměr'!G210</f>
        <v>0</v>
      </c>
      <c r="CQ195" s="141"/>
      <c r="CR195" s="141"/>
      <c r="CS195" s="141"/>
      <c r="CT195" s="141"/>
      <c r="CU195" s="141"/>
      <c r="CV195" s="141"/>
      <c r="CW195" s="141"/>
      <c r="CX195" s="140">
        <f t="shared" si="42"/>
        <v>0</v>
      </c>
      <c r="CY195" s="141"/>
      <c r="CZ195" s="141"/>
      <c r="DA195" s="141"/>
      <c r="DB195" s="141"/>
      <c r="DC195" s="141"/>
      <c r="DD195" s="141"/>
      <c r="DE195" s="141"/>
      <c r="DF195" s="140">
        <f t="shared" si="43"/>
        <v>0</v>
      </c>
      <c r="DG195" s="141"/>
      <c r="DH195" s="141"/>
      <c r="DI195" s="141"/>
      <c r="DJ195" s="141"/>
      <c r="DK195" s="141"/>
      <c r="DL195" s="141"/>
      <c r="DM195" s="141"/>
      <c r="DN195" s="140">
        <f t="shared" si="44"/>
        <v>0</v>
      </c>
      <c r="DO195" s="141"/>
      <c r="DP195" s="141"/>
      <c r="DQ195" s="141"/>
      <c r="DR195" s="141"/>
      <c r="DS195" s="141"/>
      <c r="DT195" s="141"/>
      <c r="DU195" s="141"/>
      <c r="DV195" s="140">
        <f>'Výkaz výměr'!L210</f>
        <v>0</v>
      </c>
      <c r="DW195" s="141"/>
      <c r="DX195" s="141"/>
      <c r="DY195" s="141"/>
      <c r="DZ195" s="141"/>
      <c r="EA195" s="141"/>
      <c r="EB195" s="141"/>
      <c r="EC195" s="141"/>
      <c r="ED195" s="140">
        <f t="shared" si="45"/>
        <v>0</v>
      </c>
      <c r="EE195" s="141"/>
      <c r="EF195" s="141"/>
      <c r="EG195" s="141"/>
      <c r="EH195" s="141"/>
      <c r="EI195" s="141"/>
      <c r="EJ195" s="141"/>
      <c r="EK195" s="141"/>
      <c r="EL195" s="142" t="s">
        <v>559</v>
      </c>
      <c r="EM195" s="143"/>
      <c r="EN195" s="143"/>
      <c r="EO195" s="143"/>
      <c r="EP195" s="143"/>
      <c r="EQ195" s="143"/>
      <c r="IR195" s="43">
        <f>CP195*0</f>
        <v>0</v>
      </c>
      <c r="IS195" s="43">
        <f>CP195*(1-0)</f>
        <v>0</v>
      </c>
    </row>
    <row r="196" spans="1:253" ht="12.75">
      <c r="A196" s="142" t="s">
        <v>172</v>
      </c>
      <c r="B196" s="143"/>
      <c r="C196" s="142" t="s">
        <v>199</v>
      </c>
      <c r="D196" s="143"/>
      <c r="E196" s="143"/>
      <c r="F196" s="142" t="s">
        <v>225</v>
      </c>
      <c r="G196" s="143"/>
      <c r="H196" s="143"/>
      <c r="I196" s="143"/>
      <c r="J196" s="143"/>
      <c r="K196" s="143"/>
      <c r="L196" s="142" t="s">
        <v>376</v>
      </c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2" t="s">
        <v>530</v>
      </c>
      <c r="AT196" s="143"/>
      <c r="AU196" s="142" t="s">
        <v>726</v>
      </c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0">
        <f>'Výkaz výměr'!F211</f>
        <v>1442.4</v>
      </c>
      <c r="CL196" s="141"/>
      <c r="CM196" s="141"/>
      <c r="CN196" s="141"/>
      <c r="CO196" s="141"/>
      <c r="CP196" s="140">
        <f>'Výkaz výměr'!G211</f>
        <v>0</v>
      </c>
      <c r="CQ196" s="141"/>
      <c r="CR196" s="141"/>
      <c r="CS196" s="141"/>
      <c r="CT196" s="141"/>
      <c r="CU196" s="141"/>
      <c r="CV196" s="141"/>
      <c r="CW196" s="141"/>
      <c r="CX196" s="140">
        <f t="shared" si="42"/>
        <v>0</v>
      </c>
      <c r="CY196" s="141"/>
      <c r="CZ196" s="141"/>
      <c r="DA196" s="141"/>
      <c r="DB196" s="141"/>
      <c r="DC196" s="141"/>
      <c r="DD196" s="141"/>
      <c r="DE196" s="141"/>
      <c r="DF196" s="140">
        <f t="shared" si="43"/>
        <v>0</v>
      </c>
      <c r="DG196" s="141"/>
      <c r="DH196" s="141"/>
      <c r="DI196" s="141"/>
      <c r="DJ196" s="141"/>
      <c r="DK196" s="141"/>
      <c r="DL196" s="141"/>
      <c r="DM196" s="141"/>
      <c r="DN196" s="140">
        <f t="shared" si="44"/>
        <v>0</v>
      </c>
      <c r="DO196" s="141"/>
      <c r="DP196" s="141"/>
      <c r="DQ196" s="141"/>
      <c r="DR196" s="141"/>
      <c r="DS196" s="141"/>
      <c r="DT196" s="141"/>
      <c r="DU196" s="141"/>
      <c r="DV196" s="140">
        <f>'Výkaz výměr'!L211</f>
        <v>0</v>
      </c>
      <c r="DW196" s="141"/>
      <c r="DX196" s="141"/>
      <c r="DY196" s="141"/>
      <c r="DZ196" s="141"/>
      <c r="EA196" s="141"/>
      <c r="EB196" s="141"/>
      <c r="EC196" s="141"/>
      <c r="ED196" s="140">
        <f t="shared" si="45"/>
        <v>0</v>
      </c>
      <c r="EE196" s="141"/>
      <c r="EF196" s="141"/>
      <c r="EG196" s="141"/>
      <c r="EH196" s="141"/>
      <c r="EI196" s="141"/>
      <c r="EJ196" s="141"/>
      <c r="EK196" s="141"/>
      <c r="EL196" s="142" t="s">
        <v>559</v>
      </c>
      <c r="EM196" s="143"/>
      <c r="EN196" s="143"/>
      <c r="EO196" s="143"/>
      <c r="EP196" s="143"/>
      <c r="EQ196" s="143"/>
      <c r="IR196" s="43">
        <f>CP196*0</f>
        <v>0</v>
      </c>
      <c r="IS196" s="43">
        <f>CP196*(1-0)</f>
        <v>0</v>
      </c>
    </row>
    <row r="197" spans="1:253" ht="12.75">
      <c r="A197" s="142" t="s">
        <v>173</v>
      </c>
      <c r="B197" s="143"/>
      <c r="C197" s="142" t="s">
        <v>199</v>
      </c>
      <c r="D197" s="143"/>
      <c r="E197" s="143"/>
      <c r="F197" s="142" t="s">
        <v>224</v>
      </c>
      <c r="G197" s="143"/>
      <c r="H197" s="143"/>
      <c r="I197" s="143"/>
      <c r="J197" s="143"/>
      <c r="K197" s="143"/>
      <c r="L197" s="142" t="s">
        <v>374</v>
      </c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2" t="s">
        <v>530</v>
      </c>
      <c r="AT197" s="143"/>
      <c r="AU197" s="142" t="s">
        <v>725</v>
      </c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0">
        <f>'Výkaz výměr'!F213</f>
        <v>288.48</v>
      </c>
      <c r="CL197" s="141"/>
      <c r="CM197" s="141"/>
      <c r="CN197" s="141"/>
      <c r="CO197" s="141"/>
      <c r="CP197" s="140">
        <f>'Výkaz výměr'!G213</f>
        <v>0</v>
      </c>
      <c r="CQ197" s="141"/>
      <c r="CR197" s="141"/>
      <c r="CS197" s="141"/>
      <c r="CT197" s="141"/>
      <c r="CU197" s="141"/>
      <c r="CV197" s="141"/>
      <c r="CW197" s="141"/>
      <c r="CX197" s="140">
        <f t="shared" si="42"/>
        <v>0</v>
      </c>
      <c r="CY197" s="141"/>
      <c r="CZ197" s="141"/>
      <c r="DA197" s="141"/>
      <c r="DB197" s="141"/>
      <c r="DC197" s="141"/>
      <c r="DD197" s="141"/>
      <c r="DE197" s="141"/>
      <c r="DF197" s="140">
        <f t="shared" si="43"/>
        <v>0</v>
      </c>
      <c r="DG197" s="141"/>
      <c r="DH197" s="141"/>
      <c r="DI197" s="141"/>
      <c r="DJ197" s="141"/>
      <c r="DK197" s="141"/>
      <c r="DL197" s="141"/>
      <c r="DM197" s="141"/>
      <c r="DN197" s="140">
        <f t="shared" si="44"/>
        <v>0</v>
      </c>
      <c r="DO197" s="141"/>
      <c r="DP197" s="141"/>
      <c r="DQ197" s="141"/>
      <c r="DR197" s="141"/>
      <c r="DS197" s="141"/>
      <c r="DT197" s="141"/>
      <c r="DU197" s="141"/>
      <c r="DV197" s="140">
        <f>'Výkaz výměr'!L213</f>
        <v>0</v>
      </c>
      <c r="DW197" s="141"/>
      <c r="DX197" s="141"/>
      <c r="DY197" s="141"/>
      <c r="DZ197" s="141"/>
      <c r="EA197" s="141"/>
      <c r="EB197" s="141"/>
      <c r="EC197" s="141"/>
      <c r="ED197" s="140">
        <f t="shared" si="45"/>
        <v>0</v>
      </c>
      <c r="EE197" s="141"/>
      <c r="EF197" s="141"/>
      <c r="EG197" s="141"/>
      <c r="EH197" s="141"/>
      <c r="EI197" s="141"/>
      <c r="EJ197" s="141"/>
      <c r="EK197" s="141"/>
      <c r="EL197" s="142" t="s">
        <v>559</v>
      </c>
      <c r="EM197" s="143"/>
      <c r="EN197" s="143"/>
      <c r="EO197" s="143"/>
      <c r="EP197" s="143"/>
      <c r="EQ197" s="143"/>
      <c r="IR197" s="43">
        <f>CP197*0</f>
        <v>0</v>
      </c>
      <c r="IS197" s="43">
        <f>CP197*(1-0)</f>
        <v>0</v>
      </c>
    </row>
    <row r="198" spans="1:147" ht="12.75">
      <c r="A198" s="136" t="s">
        <v>5</v>
      </c>
      <c r="B198" s="137"/>
      <c r="C198" s="136" t="s">
        <v>5</v>
      </c>
      <c r="D198" s="137"/>
      <c r="E198" s="137"/>
      <c r="F198" s="136" t="s">
        <v>282</v>
      </c>
      <c r="G198" s="137"/>
      <c r="H198" s="137"/>
      <c r="I198" s="137"/>
      <c r="J198" s="137"/>
      <c r="K198" s="137"/>
      <c r="L198" s="136" t="s">
        <v>438</v>
      </c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6" t="s">
        <v>5</v>
      </c>
      <c r="AT198" s="137"/>
      <c r="AU198" s="136" t="s">
        <v>5</v>
      </c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8" t="s">
        <v>5</v>
      </c>
      <c r="CL198" s="139"/>
      <c r="CM198" s="139"/>
      <c r="CN198" s="139"/>
      <c r="CO198" s="139"/>
      <c r="CP198" s="138" t="s">
        <v>5</v>
      </c>
      <c r="CQ198" s="139"/>
      <c r="CR198" s="139"/>
      <c r="CS198" s="139"/>
      <c r="CT198" s="139"/>
      <c r="CU198" s="139"/>
      <c r="CV198" s="139"/>
      <c r="CW198" s="139"/>
      <c r="CX198" s="134">
        <f>SUM(CX199:CX199)</f>
        <v>0</v>
      </c>
      <c r="CY198" s="135"/>
      <c r="CZ198" s="135"/>
      <c r="DA198" s="135"/>
      <c r="DB198" s="135"/>
      <c r="DC198" s="135"/>
      <c r="DD198" s="135"/>
      <c r="DE198" s="135"/>
      <c r="DF198" s="144">
        <f>SUM(DF199:DF199)</f>
        <v>0</v>
      </c>
      <c r="DG198" s="139"/>
      <c r="DH198" s="139"/>
      <c r="DI198" s="139"/>
      <c r="DJ198" s="139"/>
      <c r="DK198" s="139"/>
      <c r="DL198" s="139"/>
      <c r="DM198" s="139"/>
      <c r="DN198" s="144">
        <f>SUM(DN199:DN199)</f>
        <v>0</v>
      </c>
      <c r="DO198" s="139"/>
      <c r="DP198" s="139"/>
      <c r="DQ198" s="139"/>
      <c r="DR198" s="139"/>
      <c r="DS198" s="139"/>
      <c r="DT198" s="139"/>
      <c r="DU198" s="139"/>
      <c r="DV198" s="138" t="s">
        <v>5</v>
      </c>
      <c r="DW198" s="139"/>
      <c r="DX198" s="139"/>
      <c r="DY198" s="139"/>
      <c r="DZ198" s="139"/>
      <c r="EA198" s="139"/>
      <c r="EB198" s="139"/>
      <c r="EC198" s="139"/>
      <c r="ED198" s="144">
        <f>SUM(ED199:ED199)</f>
        <v>0</v>
      </c>
      <c r="EE198" s="139"/>
      <c r="EF198" s="139"/>
      <c r="EG198" s="139"/>
      <c r="EH198" s="139"/>
      <c r="EI198" s="139"/>
      <c r="EJ198" s="139"/>
      <c r="EK198" s="139"/>
      <c r="EL198" s="136" t="s">
        <v>5</v>
      </c>
      <c r="EM198" s="137"/>
      <c r="EN198" s="137"/>
      <c r="EO198" s="137"/>
      <c r="EP198" s="137"/>
      <c r="EQ198" s="137"/>
    </row>
    <row r="199" spans="1:253" ht="12.75">
      <c r="A199" s="142" t="s">
        <v>174</v>
      </c>
      <c r="B199" s="143"/>
      <c r="C199" s="142" t="s">
        <v>199</v>
      </c>
      <c r="D199" s="143"/>
      <c r="E199" s="143"/>
      <c r="F199" s="142" t="s">
        <v>320</v>
      </c>
      <c r="G199" s="143"/>
      <c r="H199" s="143"/>
      <c r="I199" s="143"/>
      <c r="J199" s="143"/>
      <c r="K199" s="143"/>
      <c r="L199" s="142" t="s">
        <v>490</v>
      </c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2" t="s">
        <v>529</v>
      </c>
      <c r="AT199" s="143"/>
      <c r="AU199" s="142" t="s">
        <v>727</v>
      </c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0">
        <f>'Výkaz výměr'!F216</f>
        <v>3389.24</v>
      </c>
      <c r="CL199" s="141"/>
      <c r="CM199" s="141"/>
      <c r="CN199" s="141"/>
      <c r="CO199" s="141"/>
      <c r="CP199" s="140">
        <f>'Výkaz výměr'!G216</f>
        <v>0</v>
      </c>
      <c r="CQ199" s="141"/>
      <c r="CR199" s="141"/>
      <c r="CS199" s="141"/>
      <c r="CT199" s="141"/>
      <c r="CU199" s="141"/>
      <c r="CV199" s="141"/>
      <c r="CW199" s="141"/>
      <c r="CX199" s="140">
        <f>IR199*CK199</f>
        <v>0</v>
      </c>
      <c r="CY199" s="141"/>
      <c r="CZ199" s="141"/>
      <c r="DA199" s="141"/>
      <c r="DB199" s="141"/>
      <c r="DC199" s="141"/>
      <c r="DD199" s="141"/>
      <c r="DE199" s="141"/>
      <c r="DF199" s="140">
        <f>IS199*CK199</f>
        <v>0</v>
      </c>
      <c r="DG199" s="141"/>
      <c r="DH199" s="141"/>
      <c r="DI199" s="141"/>
      <c r="DJ199" s="141"/>
      <c r="DK199" s="141"/>
      <c r="DL199" s="141"/>
      <c r="DM199" s="141"/>
      <c r="DN199" s="140">
        <f>IR199*CK199+IS199*CK199</f>
        <v>0</v>
      </c>
      <c r="DO199" s="141"/>
      <c r="DP199" s="141"/>
      <c r="DQ199" s="141"/>
      <c r="DR199" s="141"/>
      <c r="DS199" s="141"/>
      <c r="DT199" s="141"/>
      <c r="DU199" s="141"/>
      <c r="DV199" s="140">
        <f>'Výkaz výměr'!L216</f>
        <v>0</v>
      </c>
      <c r="DW199" s="141"/>
      <c r="DX199" s="141"/>
      <c r="DY199" s="141"/>
      <c r="DZ199" s="141"/>
      <c r="EA199" s="141"/>
      <c r="EB199" s="141"/>
      <c r="EC199" s="141"/>
      <c r="ED199" s="140">
        <f>DV199*CK199</f>
        <v>0</v>
      </c>
      <c r="EE199" s="141"/>
      <c r="EF199" s="141"/>
      <c r="EG199" s="141"/>
      <c r="EH199" s="141"/>
      <c r="EI199" s="141"/>
      <c r="EJ199" s="141"/>
      <c r="EK199" s="141"/>
      <c r="EL199" s="142" t="s">
        <v>559</v>
      </c>
      <c r="EM199" s="143"/>
      <c r="EN199" s="143"/>
      <c r="EO199" s="143"/>
      <c r="EP199" s="143"/>
      <c r="EQ199" s="143"/>
      <c r="IR199" s="43">
        <f>CP199*0</f>
        <v>0</v>
      </c>
      <c r="IS199" s="43">
        <f>CP199*(1-0)</f>
        <v>0</v>
      </c>
    </row>
    <row r="200" spans="1:147" ht="12.75">
      <c r="A200" s="136" t="s">
        <v>5</v>
      </c>
      <c r="B200" s="137"/>
      <c r="C200" s="136" t="s">
        <v>5</v>
      </c>
      <c r="D200" s="137"/>
      <c r="E200" s="137"/>
      <c r="F200" s="136"/>
      <c r="G200" s="137"/>
      <c r="H200" s="137"/>
      <c r="I200" s="137"/>
      <c r="J200" s="137"/>
      <c r="K200" s="137"/>
      <c r="L200" s="136" t="s">
        <v>491</v>
      </c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6" t="s">
        <v>5</v>
      </c>
      <c r="AT200" s="137"/>
      <c r="AU200" s="136" t="s">
        <v>5</v>
      </c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8" t="s">
        <v>5</v>
      </c>
      <c r="CL200" s="139"/>
      <c r="CM200" s="139"/>
      <c r="CN200" s="139"/>
      <c r="CO200" s="139"/>
      <c r="CP200" s="138" t="s">
        <v>5</v>
      </c>
      <c r="CQ200" s="139"/>
      <c r="CR200" s="139"/>
      <c r="CS200" s="139"/>
      <c r="CT200" s="139"/>
      <c r="CU200" s="139"/>
      <c r="CV200" s="139"/>
      <c r="CW200" s="139"/>
      <c r="CX200" s="134">
        <f>CX201+CX203+CX206+CX215+CX220+CX222</f>
        <v>0</v>
      </c>
      <c r="CY200" s="135"/>
      <c r="CZ200" s="135"/>
      <c r="DA200" s="135"/>
      <c r="DB200" s="135"/>
      <c r="DC200" s="135"/>
      <c r="DD200" s="135"/>
      <c r="DE200" s="135"/>
      <c r="DF200" s="134">
        <f>DF201+DF203+DF206+DF215+DF220+DF222</f>
        <v>0</v>
      </c>
      <c r="DG200" s="135"/>
      <c r="DH200" s="135"/>
      <c r="DI200" s="135"/>
      <c r="DJ200" s="135"/>
      <c r="DK200" s="135"/>
      <c r="DL200" s="135"/>
      <c r="DM200" s="135"/>
      <c r="DN200" s="134">
        <f>DN201+DN203+DN206+DN215+DN220+DN222</f>
        <v>0</v>
      </c>
      <c r="DO200" s="135"/>
      <c r="DP200" s="135"/>
      <c r="DQ200" s="135"/>
      <c r="DR200" s="135"/>
      <c r="DS200" s="135"/>
      <c r="DT200" s="135"/>
      <c r="DU200" s="135"/>
      <c r="DV200" s="138" t="s">
        <v>5</v>
      </c>
      <c r="DW200" s="139"/>
      <c r="DX200" s="139"/>
      <c r="DY200" s="139"/>
      <c r="DZ200" s="139"/>
      <c r="EA200" s="139"/>
      <c r="EB200" s="139"/>
      <c r="EC200" s="139"/>
      <c r="ED200" s="134">
        <f>ED201+ED203+ED206+ED215+ED220+ED222</f>
        <v>3871.98409</v>
      </c>
      <c r="EE200" s="135"/>
      <c r="EF200" s="135"/>
      <c r="EG200" s="135"/>
      <c r="EH200" s="135"/>
      <c r="EI200" s="135"/>
      <c r="EJ200" s="135"/>
      <c r="EK200" s="135"/>
      <c r="EL200" s="136" t="s">
        <v>5</v>
      </c>
      <c r="EM200" s="137"/>
      <c r="EN200" s="137"/>
      <c r="EO200" s="137"/>
      <c r="EP200" s="137"/>
      <c r="EQ200" s="137"/>
    </row>
    <row r="201" spans="1:147" ht="12.75">
      <c r="A201" s="136" t="s">
        <v>5</v>
      </c>
      <c r="B201" s="137"/>
      <c r="C201" s="136" t="s">
        <v>5</v>
      </c>
      <c r="D201" s="137"/>
      <c r="E201" s="137"/>
      <c r="F201" s="136" t="s">
        <v>23</v>
      </c>
      <c r="G201" s="137"/>
      <c r="H201" s="137"/>
      <c r="I201" s="137"/>
      <c r="J201" s="137"/>
      <c r="K201" s="137"/>
      <c r="L201" s="136" t="s">
        <v>492</v>
      </c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6" t="s">
        <v>5</v>
      </c>
      <c r="AT201" s="137"/>
      <c r="AU201" s="136" t="s">
        <v>5</v>
      </c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8" t="s">
        <v>5</v>
      </c>
      <c r="CL201" s="139"/>
      <c r="CM201" s="139"/>
      <c r="CN201" s="139"/>
      <c r="CO201" s="139"/>
      <c r="CP201" s="138" t="s">
        <v>5</v>
      </c>
      <c r="CQ201" s="139"/>
      <c r="CR201" s="139"/>
      <c r="CS201" s="139"/>
      <c r="CT201" s="139"/>
      <c r="CU201" s="139"/>
      <c r="CV201" s="139"/>
      <c r="CW201" s="139"/>
      <c r="CX201" s="134">
        <f>SUM(CX202:CX202)</f>
        <v>0</v>
      </c>
      <c r="CY201" s="135"/>
      <c r="CZ201" s="135"/>
      <c r="DA201" s="135"/>
      <c r="DB201" s="135"/>
      <c r="DC201" s="135"/>
      <c r="DD201" s="135"/>
      <c r="DE201" s="135"/>
      <c r="DF201" s="144">
        <f>SUM(DF202:DF202)</f>
        <v>0</v>
      </c>
      <c r="DG201" s="139"/>
      <c r="DH201" s="139"/>
      <c r="DI201" s="139"/>
      <c r="DJ201" s="139"/>
      <c r="DK201" s="139"/>
      <c r="DL201" s="139"/>
      <c r="DM201" s="139"/>
      <c r="DN201" s="144">
        <f>SUM(DN202:DN202)</f>
        <v>0</v>
      </c>
      <c r="DO201" s="139"/>
      <c r="DP201" s="139"/>
      <c r="DQ201" s="139"/>
      <c r="DR201" s="139"/>
      <c r="DS201" s="139"/>
      <c r="DT201" s="139"/>
      <c r="DU201" s="139"/>
      <c r="DV201" s="138" t="s">
        <v>5</v>
      </c>
      <c r="DW201" s="139"/>
      <c r="DX201" s="139"/>
      <c r="DY201" s="139"/>
      <c r="DZ201" s="139"/>
      <c r="EA201" s="139"/>
      <c r="EB201" s="139"/>
      <c r="EC201" s="139"/>
      <c r="ED201" s="144">
        <f>SUM(ED202:ED202)</f>
        <v>0</v>
      </c>
      <c r="EE201" s="139"/>
      <c r="EF201" s="139"/>
      <c r="EG201" s="139"/>
      <c r="EH201" s="139"/>
      <c r="EI201" s="139"/>
      <c r="EJ201" s="139"/>
      <c r="EK201" s="139"/>
      <c r="EL201" s="136" t="s">
        <v>5</v>
      </c>
      <c r="EM201" s="137"/>
      <c r="EN201" s="137"/>
      <c r="EO201" s="137"/>
      <c r="EP201" s="137"/>
      <c r="EQ201" s="137"/>
    </row>
    <row r="202" spans="1:253" ht="12.75">
      <c r="A202" s="142" t="s">
        <v>175</v>
      </c>
      <c r="B202" s="143"/>
      <c r="C202" s="142" t="s">
        <v>200</v>
      </c>
      <c r="D202" s="143"/>
      <c r="E202" s="143"/>
      <c r="F202" s="142" t="s">
        <v>321</v>
      </c>
      <c r="G202" s="143"/>
      <c r="H202" s="143"/>
      <c r="I202" s="143"/>
      <c r="J202" s="143"/>
      <c r="K202" s="143"/>
      <c r="L202" s="142" t="s">
        <v>493</v>
      </c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2" t="s">
        <v>528</v>
      </c>
      <c r="AT202" s="143"/>
      <c r="AU202" s="142" t="s">
        <v>728</v>
      </c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0">
        <f>'Výkaz výměr'!F219</f>
        <v>3150</v>
      </c>
      <c r="CL202" s="141"/>
      <c r="CM202" s="141"/>
      <c r="CN202" s="141"/>
      <c r="CO202" s="141"/>
      <c r="CP202" s="140">
        <f>'Výkaz výměr'!G219</f>
        <v>0</v>
      </c>
      <c r="CQ202" s="141"/>
      <c r="CR202" s="141"/>
      <c r="CS202" s="141"/>
      <c r="CT202" s="141"/>
      <c r="CU202" s="141"/>
      <c r="CV202" s="141"/>
      <c r="CW202" s="141"/>
      <c r="CX202" s="140">
        <f>IR202*CK202</f>
        <v>0</v>
      </c>
      <c r="CY202" s="141"/>
      <c r="CZ202" s="141"/>
      <c r="DA202" s="141"/>
      <c r="DB202" s="141"/>
      <c r="DC202" s="141"/>
      <c r="DD202" s="141"/>
      <c r="DE202" s="141"/>
      <c r="DF202" s="140">
        <f>IS202*CK202</f>
        <v>0</v>
      </c>
      <c r="DG202" s="141"/>
      <c r="DH202" s="141"/>
      <c r="DI202" s="141"/>
      <c r="DJ202" s="141"/>
      <c r="DK202" s="141"/>
      <c r="DL202" s="141"/>
      <c r="DM202" s="141"/>
      <c r="DN202" s="140">
        <f>IR202*CK202+IS202*CK202</f>
        <v>0</v>
      </c>
      <c r="DO202" s="141"/>
      <c r="DP202" s="141"/>
      <c r="DQ202" s="141"/>
      <c r="DR202" s="141"/>
      <c r="DS202" s="141"/>
      <c r="DT202" s="141"/>
      <c r="DU202" s="141"/>
      <c r="DV202" s="140">
        <f>'Výkaz výměr'!L219</f>
        <v>0</v>
      </c>
      <c r="DW202" s="141"/>
      <c r="DX202" s="141"/>
      <c r="DY202" s="141"/>
      <c r="DZ202" s="141"/>
      <c r="EA202" s="141"/>
      <c r="EB202" s="141"/>
      <c r="EC202" s="141"/>
      <c r="ED202" s="140">
        <f>DV202*CK202</f>
        <v>0</v>
      </c>
      <c r="EE202" s="141"/>
      <c r="EF202" s="141"/>
      <c r="EG202" s="141"/>
      <c r="EH202" s="141"/>
      <c r="EI202" s="141"/>
      <c r="EJ202" s="141"/>
      <c r="EK202" s="141"/>
      <c r="EL202" s="142" t="s">
        <v>559</v>
      </c>
      <c r="EM202" s="143"/>
      <c r="EN202" s="143"/>
      <c r="EO202" s="143"/>
      <c r="EP202" s="143"/>
      <c r="EQ202" s="143"/>
      <c r="IR202" s="43">
        <f>CP202*0</f>
        <v>0</v>
      </c>
      <c r="IS202" s="43">
        <f>CP202*(1-0)</f>
        <v>0</v>
      </c>
    </row>
    <row r="203" spans="1:147" ht="12.75">
      <c r="A203" s="136" t="s">
        <v>5</v>
      </c>
      <c r="B203" s="137"/>
      <c r="C203" s="136" t="s">
        <v>5</v>
      </c>
      <c r="D203" s="137"/>
      <c r="E203" s="137"/>
      <c r="F203" s="136" t="s">
        <v>26</v>
      </c>
      <c r="G203" s="137"/>
      <c r="H203" s="137"/>
      <c r="I203" s="137"/>
      <c r="J203" s="137"/>
      <c r="K203" s="137"/>
      <c r="L203" s="136" t="s">
        <v>494</v>
      </c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6" t="s">
        <v>5</v>
      </c>
      <c r="AT203" s="137"/>
      <c r="AU203" s="136" t="s">
        <v>5</v>
      </c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8" t="s">
        <v>5</v>
      </c>
      <c r="CL203" s="139"/>
      <c r="CM203" s="139"/>
      <c r="CN203" s="139"/>
      <c r="CO203" s="139"/>
      <c r="CP203" s="138" t="s">
        <v>5</v>
      </c>
      <c r="CQ203" s="139"/>
      <c r="CR203" s="139"/>
      <c r="CS203" s="139"/>
      <c r="CT203" s="139"/>
      <c r="CU203" s="139"/>
      <c r="CV203" s="139"/>
      <c r="CW203" s="139"/>
      <c r="CX203" s="134">
        <f>SUM(CX204:CX205)</f>
        <v>0</v>
      </c>
      <c r="CY203" s="135"/>
      <c r="CZ203" s="135"/>
      <c r="DA203" s="135"/>
      <c r="DB203" s="135"/>
      <c r="DC203" s="135"/>
      <c r="DD203" s="135"/>
      <c r="DE203" s="135"/>
      <c r="DF203" s="144">
        <f>SUM(DF204:DF205)</f>
        <v>0</v>
      </c>
      <c r="DG203" s="139"/>
      <c r="DH203" s="139"/>
      <c r="DI203" s="139"/>
      <c r="DJ203" s="139"/>
      <c r="DK203" s="139"/>
      <c r="DL203" s="139"/>
      <c r="DM203" s="139"/>
      <c r="DN203" s="144">
        <f>SUM(DN204:DN205)</f>
        <v>0</v>
      </c>
      <c r="DO203" s="139"/>
      <c r="DP203" s="139"/>
      <c r="DQ203" s="139"/>
      <c r="DR203" s="139"/>
      <c r="DS203" s="139"/>
      <c r="DT203" s="139"/>
      <c r="DU203" s="139"/>
      <c r="DV203" s="138" t="s">
        <v>5</v>
      </c>
      <c r="DW203" s="139"/>
      <c r="DX203" s="139"/>
      <c r="DY203" s="139"/>
      <c r="DZ203" s="139"/>
      <c r="EA203" s="139"/>
      <c r="EB203" s="139"/>
      <c r="EC203" s="139"/>
      <c r="ED203" s="144">
        <f>SUM(ED204:ED205)</f>
        <v>285.91405000000003</v>
      </c>
      <c r="EE203" s="139"/>
      <c r="EF203" s="139"/>
      <c r="EG203" s="139"/>
      <c r="EH203" s="139"/>
      <c r="EI203" s="139"/>
      <c r="EJ203" s="139"/>
      <c r="EK203" s="139"/>
      <c r="EL203" s="136" t="s">
        <v>5</v>
      </c>
      <c r="EM203" s="137"/>
      <c r="EN203" s="137"/>
      <c r="EO203" s="137"/>
      <c r="EP203" s="137"/>
      <c r="EQ203" s="137"/>
    </row>
    <row r="204" spans="1:253" ht="12.75">
      <c r="A204" s="142" t="s">
        <v>176</v>
      </c>
      <c r="B204" s="143"/>
      <c r="C204" s="142" t="s">
        <v>200</v>
      </c>
      <c r="D204" s="143"/>
      <c r="E204" s="143"/>
      <c r="F204" s="142" t="s">
        <v>322</v>
      </c>
      <c r="G204" s="143"/>
      <c r="H204" s="143"/>
      <c r="I204" s="143"/>
      <c r="J204" s="143"/>
      <c r="K204" s="143"/>
      <c r="L204" s="142" t="s">
        <v>495</v>
      </c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2" t="s">
        <v>528</v>
      </c>
      <c r="AT204" s="143"/>
      <c r="AU204" s="142" t="s">
        <v>728</v>
      </c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0">
        <f>'Výkaz výměr'!F221</f>
        <v>3150</v>
      </c>
      <c r="CL204" s="141"/>
      <c r="CM204" s="141"/>
      <c r="CN204" s="141"/>
      <c r="CO204" s="141"/>
      <c r="CP204" s="140">
        <f>'Výkaz výměr'!G221</f>
        <v>0</v>
      </c>
      <c r="CQ204" s="141"/>
      <c r="CR204" s="141"/>
      <c r="CS204" s="141"/>
      <c r="CT204" s="141"/>
      <c r="CU204" s="141"/>
      <c r="CV204" s="141"/>
      <c r="CW204" s="141"/>
      <c r="CX204" s="140">
        <f>IR204*CK204</f>
        <v>0</v>
      </c>
      <c r="CY204" s="141"/>
      <c r="CZ204" s="141"/>
      <c r="DA204" s="141"/>
      <c r="DB204" s="141"/>
      <c r="DC204" s="141"/>
      <c r="DD204" s="141"/>
      <c r="DE204" s="141"/>
      <c r="DF204" s="140">
        <f>IS204*CK204</f>
        <v>0</v>
      </c>
      <c r="DG204" s="141"/>
      <c r="DH204" s="141"/>
      <c r="DI204" s="141"/>
      <c r="DJ204" s="141"/>
      <c r="DK204" s="141"/>
      <c r="DL204" s="141"/>
      <c r="DM204" s="141"/>
      <c r="DN204" s="140">
        <f>IR204*CK204+IS204*CK204</f>
        <v>0</v>
      </c>
      <c r="DO204" s="141"/>
      <c r="DP204" s="141"/>
      <c r="DQ204" s="141"/>
      <c r="DR204" s="141"/>
      <c r="DS204" s="141"/>
      <c r="DT204" s="141"/>
      <c r="DU204" s="141"/>
      <c r="DV204" s="140">
        <f>'Výkaz výměr'!L221</f>
        <v>0</v>
      </c>
      <c r="DW204" s="141"/>
      <c r="DX204" s="141"/>
      <c r="DY204" s="141"/>
      <c r="DZ204" s="141"/>
      <c r="EA204" s="141"/>
      <c r="EB204" s="141"/>
      <c r="EC204" s="141"/>
      <c r="ED204" s="140">
        <f>DV204*CK204</f>
        <v>0</v>
      </c>
      <c r="EE204" s="141"/>
      <c r="EF204" s="141"/>
      <c r="EG204" s="141"/>
      <c r="EH204" s="141"/>
      <c r="EI204" s="141"/>
      <c r="EJ204" s="141"/>
      <c r="EK204" s="141"/>
      <c r="EL204" s="142" t="s">
        <v>559</v>
      </c>
      <c r="EM204" s="143"/>
      <c r="EN204" s="143"/>
      <c r="EO204" s="143"/>
      <c r="EP204" s="143"/>
      <c r="EQ204" s="143"/>
      <c r="IR204" s="43">
        <f>CP204*0</f>
        <v>0</v>
      </c>
      <c r="IS204" s="43">
        <f>CP204*(1-0)</f>
        <v>0</v>
      </c>
    </row>
    <row r="205" spans="1:253" ht="12.75">
      <c r="A205" s="142" t="s">
        <v>177</v>
      </c>
      <c r="B205" s="143"/>
      <c r="C205" s="142" t="s">
        <v>200</v>
      </c>
      <c r="D205" s="143"/>
      <c r="E205" s="143"/>
      <c r="F205" s="142" t="s">
        <v>323</v>
      </c>
      <c r="G205" s="143"/>
      <c r="H205" s="143"/>
      <c r="I205" s="143"/>
      <c r="J205" s="143"/>
      <c r="K205" s="143"/>
      <c r="L205" s="142" t="s">
        <v>496</v>
      </c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2" t="s">
        <v>526</v>
      </c>
      <c r="AT205" s="143"/>
      <c r="AU205" s="142" t="s">
        <v>729</v>
      </c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0">
        <f>'Výkaz výměr'!F222</f>
        <v>655</v>
      </c>
      <c r="CL205" s="141"/>
      <c r="CM205" s="141"/>
      <c r="CN205" s="141"/>
      <c r="CO205" s="141"/>
      <c r="CP205" s="140">
        <f>'Výkaz výměr'!G222</f>
        <v>0</v>
      </c>
      <c r="CQ205" s="141"/>
      <c r="CR205" s="141"/>
      <c r="CS205" s="141"/>
      <c r="CT205" s="141"/>
      <c r="CU205" s="141"/>
      <c r="CV205" s="141"/>
      <c r="CW205" s="141"/>
      <c r="CX205" s="140">
        <f>IR205*CK205</f>
        <v>0</v>
      </c>
      <c r="CY205" s="141"/>
      <c r="CZ205" s="141"/>
      <c r="DA205" s="141"/>
      <c r="DB205" s="141"/>
      <c r="DC205" s="141"/>
      <c r="DD205" s="141"/>
      <c r="DE205" s="141"/>
      <c r="DF205" s="140">
        <f>IS205*CK205</f>
        <v>0</v>
      </c>
      <c r="DG205" s="141"/>
      <c r="DH205" s="141"/>
      <c r="DI205" s="141"/>
      <c r="DJ205" s="141"/>
      <c r="DK205" s="141"/>
      <c r="DL205" s="141"/>
      <c r="DM205" s="141"/>
      <c r="DN205" s="140">
        <f>IR205*CK205+IS205*CK205</f>
        <v>0</v>
      </c>
      <c r="DO205" s="141"/>
      <c r="DP205" s="141"/>
      <c r="DQ205" s="141"/>
      <c r="DR205" s="141"/>
      <c r="DS205" s="141"/>
      <c r="DT205" s="141"/>
      <c r="DU205" s="141"/>
      <c r="DV205" s="140">
        <f>'Výkaz výměr'!L222</f>
        <v>0.43651</v>
      </c>
      <c r="DW205" s="141"/>
      <c r="DX205" s="141"/>
      <c r="DY205" s="141"/>
      <c r="DZ205" s="141"/>
      <c r="EA205" s="141"/>
      <c r="EB205" s="141"/>
      <c r="EC205" s="141"/>
      <c r="ED205" s="140">
        <f>DV205*CK205</f>
        <v>285.91405000000003</v>
      </c>
      <c r="EE205" s="141"/>
      <c r="EF205" s="141"/>
      <c r="EG205" s="141"/>
      <c r="EH205" s="141"/>
      <c r="EI205" s="141"/>
      <c r="EJ205" s="141"/>
      <c r="EK205" s="141"/>
      <c r="EL205" s="142" t="s">
        <v>559</v>
      </c>
      <c r="EM205" s="143"/>
      <c r="EN205" s="143"/>
      <c r="EO205" s="143"/>
      <c r="EP205" s="143"/>
      <c r="EQ205" s="143"/>
      <c r="IR205" s="43">
        <f>CP205*0.415446335052667</f>
        <v>0</v>
      </c>
      <c r="IS205" s="43">
        <f>CP205*(1-0.415446335052667)</f>
        <v>0</v>
      </c>
    </row>
    <row r="206" spans="1:147" ht="12.75">
      <c r="A206" s="136" t="s">
        <v>5</v>
      </c>
      <c r="B206" s="137"/>
      <c r="C206" s="136" t="s">
        <v>5</v>
      </c>
      <c r="D206" s="137"/>
      <c r="E206" s="137"/>
      <c r="F206" s="136" t="s">
        <v>61</v>
      </c>
      <c r="G206" s="137"/>
      <c r="H206" s="137"/>
      <c r="I206" s="137"/>
      <c r="J206" s="137"/>
      <c r="K206" s="137"/>
      <c r="L206" s="136" t="s">
        <v>498</v>
      </c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6" t="s">
        <v>5</v>
      </c>
      <c r="AT206" s="137"/>
      <c r="AU206" s="136" t="s">
        <v>5</v>
      </c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8" t="s">
        <v>5</v>
      </c>
      <c r="CL206" s="139"/>
      <c r="CM206" s="139"/>
      <c r="CN206" s="139"/>
      <c r="CO206" s="139"/>
      <c r="CP206" s="138" t="s">
        <v>5</v>
      </c>
      <c r="CQ206" s="139"/>
      <c r="CR206" s="139"/>
      <c r="CS206" s="139"/>
      <c r="CT206" s="139"/>
      <c r="CU206" s="139"/>
      <c r="CV206" s="139"/>
      <c r="CW206" s="139"/>
      <c r="CX206" s="134">
        <f>SUM(CX207:CX214)</f>
        <v>0</v>
      </c>
      <c r="CY206" s="135"/>
      <c r="CZ206" s="135"/>
      <c r="DA206" s="135"/>
      <c r="DB206" s="135"/>
      <c r="DC206" s="135"/>
      <c r="DD206" s="135"/>
      <c r="DE206" s="135"/>
      <c r="DF206" s="144">
        <f>SUM(DF207:DF214)</f>
        <v>0</v>
      </c>
      <c r="DG206" s="139"/>
      <c r="DH206" s="139"/>
      <c r="DI206" s="139"/>
      <c r="DJ206" s="139"/>
      <c r="DK206" s="139"/>
      <c r="DL206" s="139"/>
      <c r="DM206" s="139"/>
      <c r="DN206" s="144">
        <f>SUM(DN207:DN214)</f>
        <v>0</v>
      </c>
      <c r="DO206" s="139"/>
      <c r="DP206" s="139"/>
      <c r="DQ206" s="139"/>
      <c r="DR206" s="139"/>
      <c r="DS206" s="139"/>
      <c r="DT206" s="139"/>
      <c r="DU206" s="139"/>
      <c r="DV206" s="138" t="s">
        <v>5</v>
      </c>
      <c r="DW206" s="139"/>
      <c r="DX206" s="139"/>
      <c r="DY206" s="139"/>
      <c r="DZ206" s="139"/>
      <c r="EA206" s="139"/>
      <c r="EB206" s="139"/>
      <c r="EC206" s="139"/>
      <c r="ED206" s="144">
        <f>SUM(ED207:ED214)</f>
        <v>2340.84314</v>
      </c>
      <c r="EE206" s="139"/>
      <c r="EF206" s="139"/>
      <c r="EG206" s="139"/>
      <c r="EH206" s="139"/>
      <c r="EI206" s="139"/>
      <c r="EJ206" s="139"/>
      <c r="EK206" s="139"/>
      <c r="EL206" s="136" t="s">
        <v>5</v>
      </c>
      <c r="EM206" s="137"/>
      <c r="EN206" s="137"/>
      <c r="EO206" s="137"/>
      <c r="EP206" s="137"/>
      <c r="EQ206" s="137"/>
    </row>
    <row r="207" spans="1:253" ht="12.75">
      <c r="A207" s="142" t="s">
        <v>178</v>
      </c>
      <c r="B207" s="143"/>
      <c r="C207" s="142" t="s">
        <v>200</v>
      </c>
      <c r="D207" s="143"/>
      <c r="E207" s="143"/>
      <c r="F207" s="142" t="s">
        <v>324</v>
      </c>
      <c r="G207" s="143"/>
      <c r="H207" s="143"/>
      <c r="I207" s="143"/>
      <c r="J207" s="143"/>
      <c r="K207" s="143"/>
      <c r="L207" s="142" t="s">
        <v>499</v>
      </c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2" t="s">
        <v>528</v>
      </c>
      <c r="AT207" s="143"/>
      <c r="AU207" s="142" t="s">
        <v>730</v>
      </c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0">
        <f>'Výkaz výměr'!F225</f>
        <v>2050</v>
      </c>
      <c r="CL207" s="141"/>
      <c r="CM207" s="141"/>
      <c r="CN207" s="141"/>
      <c r="CO207" s="141"/>
      <c r="CP207" s="140">
        <f>'Výkaz výměr'!G225</f>
        <v>0</v>
      </c>
      <c r="CQ207" s="141"/>
      <c r="CR207" s="141"/>
      <c r="CS207" s="141"/>
      <c r="CT207" s="141"/>
      <c r="CU207" s="141"/>
      <c r="CV207" s="141"/>
      <c r="CW207" s="141"/>
      <c r="CX207" s="140">
        <f aca="true" t="shared" si="46" ref="CX207:CX214">IR207*CK207</f>
        <v>0</v>
      </c>
      <c r="CY207" s="141"/>
      <c r="CZ207" s="141"/>
      <c r="DA207" s="141"/>
      <c r="DB207" s="141"/>
      <c r="DC207" s="141"/>
      <c r="DD207" s="141"/>
      <c r="DE207" s="141"/>
      <c r="DF207" s="140">
        <f aca="true" t="shared" si="47" ref="DF207:DF214">IS207*CK207</f>
        <v>0</v>
      </c>
      <c r="DG207" s="141"/>
      <c r="DH207" s="141"/>
      <c r="DI207" s="141"/>
      <c r="DJ207" s="141"/>
      <c r="DK207" s="141"/>
      <c r="DL207" s="141"/>
      <c r="DM207" s="141"/>
      <c r="DN207" s="140">
        <f aca="true" t="shared" si="48" ref="DN207:DN214">IR207*CK207+IS207*CK207</f>
        <v>0</v>
      </c>
      <c r="DO207" s="141"/>
      <c r="DP207" s="141"/>
      <c r="DQ207" s="141"/>
      <c r="DR207" s="141"/>
      <c r="DS207" s="141"/>
      <c r="DT207" s="141"/>
      <c r="DU207" s="141"/>
      <c r="DV207" s="140">
        <f>'Výkaz výměr'!L225</f>
        <v>0.378</v>
      </c>
      <c r="DW207" s="141"/>
      <c r="DX207" s="141"/>
      <c r="DY207" s="141"/>
      <c r="DZ207" s="141"/>
      <c r="EA207" s="141"/>
      <c r="EB207" s="141"/>
      <c r="EC207" s="141"/>
      <c r="ED207" s="140">
        <f aca="true" t="shared" si="49" ref="ED207:ED214">DV207*CK207</f>
        <v>774.9</v>
      </c>
      <c r="EE207" s="141"/>
      <c r="EF207" s="141"/>
      <c r="EG207" s="141"/>
      <c r="EH207" s="141"/>
      <c r="EI207" s="141"/>
      <c r="EJ207" s="141"/>
      <c r="EK207" s="141"/>
      <c r="EL207" s="142" t="s">
        <v>559</v>
      </c>
      <c r="EM207" s="143"/>
      <c r="EN207" s="143"/>
      <c r="EO207" s="143"/>
      <c r="EP207" s="143"/>
      <c r="EQ207" s="143"/>
      <c r="IR207" s="43">
        <f>CP207*0.863288409703504</f>
        <v>0</v>
      </c>
      <c r="IS207" s="43">
        <f>CP207*(1-0.863288409703504)</f>
        <v>0</v>
      </c>
    </row>
    <row r="208" spans="1:253" ht="12.75">
      <c r="A208" s="142" t="s">
        <v>179</v>
      </c>
      <c r="B208" s="143"/>
      <c r="C208" s="142" t="s">
        <v>200</v>
      </c>
      <c r="D208" s="143"/>
      <c r="E208" s="143"/>
      <c r="F208" s="142" t="s">
        <v>325</v>
      </c>
      <c r="G208" s="143"/>
      <c r="H208" s="143"/>
      <c r="I208" s="143"/>
      <c r="J208" s="143"/>
      <c r="K208" s="143"/>
      <c r="L208" s="142" t="s">
        <v>501</v>
      </c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2" t="s">
        <v>528</v>
      </c>
      <c r="AT208" s="143"/>
      <c r="AU208" s="142" t="s">
        <v>730</v>
      </c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0">
        <f>'Výkaz výměr'!F227</f>
        <v>2050</v>
      </c>
      <c r="CL208" s="141"/>
      <c r="CM208" s="141"/>
      <c r="CN208" s="141"/>
      <c r="CO208" s="141"/>
      <c r="CP208" s="140">
        <f>'Výkaz výměr'!G227</f>
        <v>0</v>
      </c>
      <c r="CQ208" s="141"/>
      <c r="CR208" s="141"/>
      <c r="CS208" s="141"/>
      <c r="CT208" s="141"/>
      <c r="CU208" s="141"/>
      <c r="CV208" s="141"/>
      <c r="CW208" s="141"/>
      <c r="CX208" s="140">
        <f t="shared" si="46"/>
        <v>0</v>
      </c>
      <c r="CY208" s="141"/>
      <c r="CZ208" s="141"/>
      <c r="DA208" s="141"/>
      <c r="DB208" s="141"/>
      <c r="DC208" s="141"/>
      <c r="DD208" s="141"/>
      <c r="DE208" s="141"/>
      <c r="DF208" s="140">
        <f t="shared" si="47"/>
        <v>0</v>
      </c>
      <c r="DG208" s="141"/>
      <c r="DH208" s="141"/>
      <c r="DI208" s="141"/>
      <c r="DJ208" s="141"/>
      <c r="DK208" s="141"/>
      <c r="DL208" s="141"/>
      <c r="DM208" s="141"/>
      <c r="DN208" s="140">
        <f t="shared" si="48"/>
        <v>0</v>
      </c>
      <c r="DO208" s="141"/>
      <c r="DP208" s="141"/>
      <c r="DQ208" s="141"/>
      <c r="DR208" s="141"/>
      <c r="DS208" s="141"/>
      <c r="DT208" s="141"/>
      <c r="DU208" s="141"/>
      <c r="DV208" s="140">
        <f>'Výkaz výměr'!L227</f>
        <v>0.4284</v>
      </c>
      <c r="DW208" s="141"/>
      <c r="DX208" s="141"/>
      <c r="DY208" s="141"/>
      <c r="DZ208" s="141"/>
      <c r="EA208" s="141"/>
      <c r="EB208" s="141"/>
      <c r="EC208" s="141"/>
      <c r="ED208" s="140">
        <f t="shared" si="49"/>
        <v>878.22</v>
      </c>
      <c r="EE208" s="141"/>
      <c r="EF208" s="141"/>
      <c r="EG208" s="141"/>
      <c r="EH208" s="141"/>
      <c r="EI208" s="141"/>
      <c r="EJ208" s="141"/>
      <c r="EK208" s="141"/>
      <c r="EL208" s="142" t="s">
        <v>559</v>
      </c>
      <c r="EM208" s="143"/>
      <c r="EN208" s="143"/>
      <c r="EO208" s="143"/>
      <c r="EP208" s="143"/>
      <c r="EQ208" s="143"/>
      <c r="IR208" s="43">
        <f>CP208*0.873542168674699</f>
        <v>0</v>
      </c>
      <c r="IS208" s="43">
        <f>CP208*(1-0.873542168674699)</f>
        <v>0</v>
      </c>
    </row>
    <row r="209" spans="1:253" ht="12.75">
      <c r="A209" s="142" t="s">
        <v>180</v>
      </c>
      <c r="B209" s="143"/>
      <c r="C209" s="142" t="s">
        <v>200</v>
      </c>
      <c r="D209" s="143"/>
      <c r="E209" s="143"/>
      <c r="F209" s="142" t="s">
        <v>326</v>
      </c>
      <c r="G209" s="143"/>
      <c r="H209" s="143"/>
      <c r="I209" s="143"/>
      <c r="J209" s="143"/>
      <c r="K209" s="143"/>
      <c r="L209" s="142" t="s">
        <v>502</v>
      </c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2" t="s">
        <v>528</v>
      </c>
      <c r="AT209" s="143"/>
      <c r="AU209" s="142" t="s">
        <v>730</v>
      </c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0">
        <f>'Výkaz výměr'!F229</f>
        <v>2050</v>
      </c>
      <c r="CL209" s="141"/>
      <c r="CM209" s="141"/>
      <c r="CN209" s="141"/>
      <c r="CO209" s="141"/>
      <c r="CP209" s="140">
        <f>'Výkaz výměr'!G229</f>
        <v>0</v>
      </c>
      <c r="CQ209" s="141"/>
      <c r="CR209" s="141"/>
      <c r="CS209" s="141"/>
      <c r="CT209" s="141"/>
      <c r="CU209" s="141"/>
      <c r="CV209" s="141"/>
      <c r="CW209" s="141"/>
      <c r="CX209" s="140">
        <f t="shared" si="46"/>
        <v>0</v>
      </c>
      <c r="CY209" s="141"/>
      <c r="CZ209" s="141"/>
      <c r="DA209" s="141"/>
      <c r="DB209" s="141"/>
      <c r="DC209" s="141"/>
      <c r="DD209" s="141"/>
      <c r="DE209" s="141"/>
      <c r="DF209" s="140">
        <f t="shared" si="47"/>
        <v>0</v>
      </c>
      <c r="DG209" s="141"/>
      <c r="DH209" s="141"/>
      <c r="DI209" s="141"/>
      <c r="DJ209" s="141"/>
      <c r="DK209" s="141"/>
      <c r="DL209" s="141"/>
      <c r="DM209" s="141"/>
      <c r="DN209" s="140">
        <f t="shared" si="48"/>
        <v>0</v>
      </c>
      <c r="DO209" s="141"/>
      <c r="DP209" s="141"/>
      <c r="DQ209" s="141"/>
      <c r="DR209" s="141"/>
      <c r="DS209" s="141"/>
      <c r="DT209" s="141"/>
      <c r="DU209" s="141"/>
      <c r="DV209" s="140">
        <f>'Výkaz výměr'!L229</f>
        <v>0.12966</v>
      </c>
      <c r="DW209" s="141"/>
      <c r="DX209" s="141"/>
      <c r="DY209" s="141"/>
      <c r="DZ209" s="141"/>
      <c r="EA209" s="141"/>
      <c r="EB209" s="141"/>
      <c r="EC209" s="141"/>
      <c r="ED209" s="140">
        <f t="shared" si="49"/>
        <v>265.803</v>
      </c>
      <c r="EE209" s="141"/>
      <c r="EF209" s="141"/>
      <c r="EG209" s="141"/>
      <c r="EH209" s="141"/>
      <c r="EI209" s="141"/>
      <c r="EJ209" s="141"/>
      <c r="EK209" s="141"/>
      <c r="EL209" s="142" t="s">
        <v>559</v>
      </c>
      <c r="EM209" s="143"/>
      <c r="EN209" s="143"/>
      <c r="EO209" s="143"/>
      <c r="EP209" s="143"/>
      <c r="EQ209" s="143"/>
      <c r="IR209" s="43">
        <f>CP209*0.920580551523948</f>
        <v>0</v>
      </c>
      <c r="IS209" s="43">
        <f>CP209*(1-0.920580551523948)</f>
        <v>0</v>
      </c>
    </row>
    <row r="210" spans="1:253" ht="12.75">
      <c r="A210" s="142" t="s">
        <v>181</v>
      </c>
      <c r="B210" s="143"/>
      <c r="C210" s="142" t="s">
        <v>200</v>
      </c>
      <c r="D210" s="143"/>
      <c r="E210" s="143"/>
      <c r="F210" s="142" t="s">
        <v>327</v>
      </c>
      <c r="G210" s="143"/>
      <c r="H210" s="143"/>
      <c r="I210" s="143"/>
      <c r="J210" s="143"/>
      <c r="K210" s="143"/>
      <c r="L210" s="142" t="s">
        <v>503</v>
      </c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2" t="s">
        <v>528</v>
      </c>
      <c r="AT210" s="143"/>
      <c r="AU210" s="142" t="s">
        <v>730</v>
      </c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  <c r="CI210" s="143"/>
      <c r="CJ210" s="143"/>
      <c r="CK210" s="140">
        <f>'Výkaz výměr'!F230</f>
        <v>2050</v>
      </c>
      <c r="CL210" s="141"/>
      <c r="CM210" s="141"/>
      <c r="CN210" s="141"/>
      <c r="CO210" s="141"/>
      <c r="CP210" s="140">
        <f>'Výkaz výměr'!G230</f>
        <v>0</v>
      </c>
      <c r="CQ210" s="141"/>
      <c r="CR210" s="141"/>
      <c r="CS210" s="141"/>
      <c r="CT210" s="141"/>
      <c r="CU210" s="141"/>
      <c r="CV210" s="141"/>
      <c r="CW210" s="141"/>
      <c r="CX210" s="140">
        <f t="shared" si="46"/>
        <v>0</v>
      </c>
      <c r="CY210" s="141"/>
      <c r="CZ210" s="141"/>
      <c r="DA210" s="141"/>
      <c r="DB210" s="141"/>
      <c r="DC210" s="141"/>
      <c r="DD210" s="141"/>
      <c r="DE210" s="141"/>
      <c r="DF210" s="140">
        <f t="shared" si="47"/>
        <v>0</v>
      </c>
      <c r="DG210" s="141"/>
      <c r="DH210" s="141"/>
      <c r="DI210" s="141"/>
      <c r="DJ210" s="141"/>
      <c r="DK210" s="141"/>
      <c r="DL210" s="141"/>
      <c r="DM210" s="141"/>
      <c r="DN210" s="140">
        <f t="shared" si="48"/>
        <v>0</v>
      </c>
      <c r="DO210" s="141"/>
      <c r="DP210" s="141"/>
      <c r="DQ210" s="141"/>
      <c r="DR210" s="141"/>
      <c r="DS210" s="141"/>
      <c r="DT210" s="141"/>
      <c r="DU210" s="141"/>
      <c r="DV210" s="140">
        <f>'Výkaz výměr'!L230</f>
        <v>0.18463</v>
      </c>
      <c r="DW210" s="141"/>
      <c r="DX210" s="141"/>
      <c r="DY210" s="141"/>
      <c r="DZ210" s="141"/>
      <c r="EA210" s="141"/>
      <c r="EB210" s="141"/>
      <c r="EC210" s="141"/>
      <c r="ED210" s="140">
        <f t="shared" si="49"/>
        <v>378.4915</v>
      </c>
      <c r="EE210" s="141"/>
      <c r="EF210" s="141"/>
      <c r="EG210" s="141"/>
      <c r="EH210" s="141"/>
      <c r="EI210" s="141"/>
      <c r="EJ210" s="141"/>
      <c r="EK210" s="141"/>
      <c r="EL210" s="142" t="s">
        <v>559</v>
      </c>
      <c r="EM210" s="143"/>
      <c r="EN210" s="143"/>
      <c r="EO210" s="143"/>
      <c r="EP210" s="143"/>
      <c r="EQ210" s="143"/>
      <c r="IR210" s="43">
        <f>CP210*0.877218225419664</f>
        <v>0</v>
      </c>
      <c r="IS210" s="43">
        <f>CP210*(1-0.877218225419664)</f>
        <v>0</v>
      </c>
    </row>
    <row r="211" spans="1:253" ht="12.75">
      <c r="A211" s="142" t="s">
        <v>182</v>
      </c>
      <c r="B211" s="143"/>
      <c r="C211" s="142" t="s">
        <v>200</v>
      </c>
      <c r="D211" s="143"/>
      <c r="E211" s="143"/>
      <c r="F211" s="142" t="s">
        <v>328</v>
      </c>
      <c r="G211" s="143"/>
      <c r="H211" s="143"/>
      <c r="I211" s="143"/>
      <c r="J211" s="143"/>
      <c r="K211" s="143"/>
      <c r="L211" s="142" t="s">
        <v>504</v>
      </c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2" t="s">
        <v>528</v>
      </c>
      <c r="AT211" s="143"/>
      <c r="AU211" s="142" t="s">
        <v>731</v>
      </c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0">
        <f>'Výkaz výměr'!F231</f>
        <v>4100</v>
      </c>
      <c r="CL211" s="141"/>
      <c r="CM211" s="141"/>
      <c r="CN211" s="141"/>
      <c r="CO211" s="141"/>
      <c r="CP211" s="140">
        <f>'Výkaz výměr'!G231</f>
        <v>0</v>
      </c>
      <c r="CQ211" s="141"/>
      <c r="CR211" s="141"/>
      <c r="CS211" s="141"/>
      <c r="CT211" s="141"/>
      <c r="CU211" s="141"/>
      <c r="CV211" s="141"/>
      <c r="CW211" s="141"/>
      <c r="CX211" s="140">
        <f t="shared" si="46"/>
        <v>0</v>
      </c>
      <c r="CY211" s="141"/>
      <c r="CZ211" s="141"/>
      <c r="DA211" s="141"/>
      <c r="DB211" s="141"/>
      <c r="DC211" s="141"/>
      <c r="DD211" s="141"/>
      <c r="DE211" s="141"/>
      <c r="DF211" s="140">
        <f t="shared" si="47"/>
        <v>0</v>
      </c>
      <c r="DG211" s="141"/>
      <c r="DH211" s="141"/>
      <c r="DI211" s="141"/>
      <c r="DJ211" s="141"/>
      <c r="DK211" s="141"/>
      <c r="DL211" s="141"/>
      <c r="DM211" s="141"/>
      <c r="DN211" s="140">
        <f t="shared" si="48"/>
        <v>0</v>
      </c>
      <c r="DO211" s="141"/>
      <c r="DP211" s="141"/>
      <c r="DQ211" s="141"/>
      <c r="DR211" s="141"/>
      <c r="DS211" s="141"/>
      <c r="DT211" s="141"/>
      <c r="DU211" s="141"/>
      <c r="DV211" s="140">
        <f>'Výkaz výměr'!L231</f>
        <v>0.00071</v>
      </c>
      <c r="DW211" s="141"/>
      <c r="DX211" s="141"/>
      <c r="DY211" s="141"/>
      <c r="DZ211" s="141"/>
      <c r="EA211" s="141"/>
      <c r="EB211" s="141"/>
      <c r="EC211" s="141"/>
      <c r="ED211" s="140">
        <f t="shared" si="49"/>
        <v>2.911</v>
      </c>
      <c r="EE211" s="141"/>
      <c r="EF211" s="141"/>
      <c r="EG211" s="141"/>
      <c r="EH211" s="141"/>
      <c r="EI211" s="141"/>
      <c r="EJ211" s="141"/>
      <c r="EK211" s="141"/>
      <c r="EL211" s="142" t="s">
        <v>559</v>
      </c>
      <c r="EM211" s="143"/>
      <c r="EN211" s="143"/>
      <c r="EO211" s="143"/>
      <c r="EP211" s="143"/>
      <c r="EQ211" s="143"/>
      <c r="IR211" s="43">
        <f>CP211*0.892185954500494</f>
        <v>0</v>
      </c>
      <c r="IS211" s="43">
        <f>CP211*(1-0.892185954500494)</f>
        <v>0</v>
      </c>
    </row>
    <row r="212" spans="1:253" ht="12.75">
      <c r="A212" s="142" t="s">
        <v>183</v>
      </c>
      <c r="B212" s="143"/>
      <c r="C212" s="142" t="s">
        <v>200</v>
      </c>
      <c r="D212" s="143"/>
      <c r="E212" s="143"/>
      <c r="F212" s="142" t="s">
        <v>329</v>
      </c>
      <c r="G212" s="143"/>
      <c r="H212" s="143"/>
      <c r="I212" s="143"/>
      <c r="J212" s="143"/>
      <c r="K212" s="143"/>
      <c r="L212" s="142" t="s">
        <v>505</v>
      </c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2" t="s">
        <v>528</v>
      </c>
      <c r="AT212" s="143"/>
      <c r="AU212" s="142" t="s">
        <v>732</v>
      </c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0">
        <f>'Výkaz výměr'!F232</f>
        <v>43.5</v>
      </c>
      <c r="CL212" s="141"/>
      <c r="CM212" s="141"/>
      <c r="CN212" s="141"/>
      <c r="CO212" s="141"/>
      <c r="CP212" s="140">
        <f>'Výkaz výměr'!G232</f>
        <v>0</v>
      </c>
      <c r="CQ212" s="141"/>
      <c r="CR212" s="141"/>
      <c r="CS212" s="141"/>
      <c r="CT212" s="141"/>
      <c r="CU212" s="141"/>
      <c r="CV212" s="141"/>
      <c r="CW212" s="141"/>
      <c r="CX212" s="140">
        <f t="shared" si="46"/>
        <v>0</v>
      </c>
      <c r="CY212" s="141"/>
      <c r="CZ212" s="141"/>
      <c r="DA212" s="141"/>
      <c r="DB212" s="141"/>
      <c r="DC212" s="141"/>
      <c r="DD212" s="141"/>
      <c r="DE212" s="141"/>
      <c r="DF212" s="140">
        <f t="shared" si="47"/>
        <v>0</v>
      </c>
      <c r="DG212" s="141"/>
      <c r="DH212" s="141"/>
      <c r="DI212" s="141"/>
      <c r="DJ212" s="141"/>
      <c r="DK212" s="141"/>
      <c r="DL212" s="141"/>
      <c r="DM212" s="141"/>
      <c r="DN212" s="140">
        <f t="shared" si="48"/>
        <v>0</v>
      </c>
      <c r="DO212" s="141"/>
      <c r="DP212" s="141"/>
      <c r="DQ212" s="141"/>
      <c r="DR212" s="141"/>
      <c r="DS212" s="141"/>
      <c r="DT212" s="141"/>
      <c r="DU212" s="141"/>
      <c r="DV212" s="140">
        <f>'Výkaz výměr'!L232</f>
        <v>0.63291</v>
      </c>
      <c r="DW212" s="141"/>
      <c r="DX212" s="141"/>
      <c r="DY212" s="141"/>
      <c r="DZ212" s="141"/>
      <c r="EA212" s="141"/>
      <c r="EB212" s="141"/>
      <c r="EC212" s="141"/>
      <c r="ED212" s="140">
        <f t="shared" si="49"/>
        <v>27.531585</v>
      </c>
      <c r="EE212" s="141"/>
      <c r="EF212" s="141"/>
      <c r="EG212" s="141"/>
      <c r="EH212" s="141"/>
      <c r="EI212" s="141"/>
      <c r="EJ212" s="141"/>
      <c r="EK212" s="141"/>
      <c r="EL212" s="142" t="s">
        <v>559</v>
      </c>
      <c r="EM212" s="143"/>
      <c r="EN212" s="143"/>
      <c r="EO212" s="143"/>
      <c r="EP212" s="143"/>
      <c r="EQ212" s="143"/>
      <c r="IR212" s="43">
        <f>CP212*0.862538354253836</f>
        <v>0</v>
      </c>
      <c r="IS212" s="43">
        <f>CP212*(1-0.862538354253836)</f>
        <v>0</v>
      </c>
    </row>
    <row r="213" spans="1:253" ht="12.75">
      <c r="A213" s="142" t="s">
        <v>184</v>
      </c>
      <c r="B213" s="143"/>
      <c r="C213" s="142" t="s">
        <v>200</v>
      </c>
      <c r="D213" s="143"/>
      <c r="E213" s="143"/>
      <c r="F213" s="142" t="s">
        <v>330</v>
      </c>
      <c r="G213" s="143"/>
      <c r="H213" s="143"/>
      <c r="I213" s="143"/>
      <c r="J213" s="143"/>
      <c r="K213" s="143"/>
      <c r="L213" s="142" t="s">
        <v>506</v>
      </c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2" t="s">
        <v>528</v>
      </c>
      <c r="AT213" s="143"/>
      <c r="AU213" s="142" t="s">
        <v>733</v>
      </c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0">
        <f>'Výkaz výměr'!F233</f>
        <v>43.5</v>
      </c>
      <c r="CL213" s="141"/>
      <c r="CM213" s="141"/>
      <c r="CN213" s="141"/>
      <c r="CO213" s="141"/>
      <c r="CP213" s="140">
        <f>'Výkaz výměr'!G233</f>
        <v>0</v>
      </c>
      <c r="CQ213" s="141"/>
      <c r="CR213" s="141"/>
      <c r="CS213" s="141"/>
      <c r="CT213" s="141"/>
      <c r="CU213" s="141"/>
      <c r="CV213" s="141"/>
      <c r="CW213" s="141"/>
      <c r="CX213" s="140">
        <f t="shared" si="46"/>
        <v>0</v>
      </c>
      <c r="CY213" s="141"/>
      <c r="CZ213" s="141"/>
      <c r="DA213" s="141"/>
      <c r="DB213" s="141"/>
      <c r="DC213" s="141"/>
      <c r="DD213" s="141"/>
      <c r="DE213" s="141"/>
      <c r="DF213" s="140">
        <f t="shared" si="47"/>
        <v>0</v>
      </c>
      <c r="DG213" s="141"/>
      <c r="DH213" s="141"/>
      <c r="DI213" s="141"/>
      <c r="DJ213" s="141"/>
      <c r="DK213" s="141"/>
      <c r="DL213" s="141"/>
      <c r="DM213" s="141"/>
      <c r="DN213" s="140">
        <f t="shared" si="48"/>
        <v>0</v>
      </c>
      <c r="DO213" s="141"/>
      <c r="DP213" s="141"/>
      <c r="DQ213" s="141"/>
      <c r="DR213" s="141"/>
      <c r="DS213" s="141"/>
      <c r="DT213" s="141"/>
      <c r="DU213" s="141"/>
      <c r="DV213" s="140">
        <f>'Výkaz výměr'!L233</f>
        <v>0.11453</v>
      </c>
      <c r="DW213" s="141"/>
      <c r="DX213" s="141"/>
      <c r="DY213" s="141"/>
      <c r="DZ213" s="141"/>
      <c r="EA213" s="141"/>
      <c r="EB213" s="141"/>
      <c r="EC213" s="141"/>
      <c r="ED213" s="140">
        <f t="shared" si="49"/>
        <v>4.982055</v>
      </c>
      <c r="EE213" s="141"/>
      <c r="EF213" s="141"/>
      <c r="EG213" s="141"/>
      <c r="EH213" s="141"/>
      <c r="EI213" s="141"/>
      <c r="EJ213" s="141"/>
      <c r="EK213" s="141"/>
      <c r="EL213" s="142" t="s">
        <v>559</v>
      </c>
      <c r="EM213" s="143"/>
      <c r="EN213" s="143"/>
      <c r="EO213" s="143"/>
      <c r="EP213" s="143"/>
      <c r="EQ213" s="143"/>
      <c r="IR213" s="43">
        <f>CP213*0.139787985865724</f>
        <v>0</v>
      </c>
      <c r="IS213" s="43">
        <f>CP213*(1-0.139787985865724)</f>
        <v>0</v>
      </c>
    </row>
    <row r="214" spans="1:253" ht="12.75">
      <c r="A214" s="132" t="s">
        <v>185</v>
      </c>
      <c r="B214" s="133"/>
      <c r="C214" s="132" t="s">
        <v>200</v>
      </c>
      <c r="D214" s="133"/>
      <c r="E214" s="133"/>
      <c r="F214" s="132" t="s">
        <v>331</v>
      </c>
      <c r="G214" s="133"/>
      <c r="H214" s="133"/>
      <c r="I214" s="133"/>
      <c r="J214" s="133"/>
      <c r="K214" s="133"/>
      <c r="L214" s="132" t="s">
        <v>507</v>
      </c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2" t="s">
        <v>534</v>
      </c>
      <c r="AT214" s="133"/>
      <c r="AU214" s="132" t="s">
        <v>734</v>
      </c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0">
        <f>'Výkaz výměr'!F234</f>
        <v>348</v>
      </c>
      <c r="CL214" s="131"/>
      <c r="CM214" s="131"/>
      <c r="CN214" s="131"/>
      <c r="CO214" s="131"/>
      <c r="CP214" s="130">
        <f>'Výkaz výměr'!G234</f>
        <v>0</v>
      </c>
      <c r="CQ214" s="131"/>
      <c r="CR214" s="131"/>
      <c r="CS214" s="131"/>
      <c r="CT214" s="131"/>
      <c r="CU214" s="131"/>
      <c r="CV214" s="131"/>
      <c r="CW214" s="131"/>
      <c r="CX214" s="130">
        <f t="shared" si="46"/>
        <v>0</v>
      </c>
      <c r="CY214" s="131"/>
      <c r="CZ214" s="131"/>
      <c r="DA214" s="131"/>
      <c r="DB214" s="131"/>
      <c r="DC214" s="131"/>
      <c r="DD214" s="131"/>
      <c r="DE214" s="131"/>
      <c r="DF214" s="130">
        <f t="shared" si="47"/>
        <v>0</v>
      </c>
      <c r="DG214" s="131"/>
      <c r="DH214" s="131"/>
      <c r="DI214" s="131"/>
      <c r="DJ214" s="131"/>
      <c r="DK214" s="131"/>
      <c r="DL214" s="131"/>
      <c r="DM214" s="131"/>
      <c r="DN214" s="130">
        <f t="shared" si="48"/>
        <v>0</v>
      </c>
      <c r="DO214" s="131"/>
      <c r="DP214" s="131"/>
      <c r="DQ214" s="131"/>
      <c r="DR214" s="131"/>
      <c r="DS214" s="131"/>
      <c r="DT214" s="131"/>
      <c r="DU214" s="131"/>
      <c r="DV214" s="130">
        <f>'Výkaz výměr'!L234</f>
        <v>0.023</v>
      </c>
      <c r="DW214" s="131"/>
      <c r="DX214" s="131"/>
      <c r="DY214" s="131"/>
      <c r="DZ214" s="131"/>
      <c r="EA214" s="131"/>
      <c r="EB214" s="131"/>
      <c r="EC214" s="131"/>
      <c r="ED214" s="130">
        <f t="shared" si="49"/>
        <v>8.004</v>
      </c>
      <c r="EE214" s="131"/>
      <c r="EF214" s="131"/>
      <c r="EG214" s="131"/>
      <c r="EH214" s="131"/>
      <c r="EI214" s="131"/>
      <c r="EJ214" s="131"/>
      <c r="EK214" s="131"/>
      <c r="EL214" s="132" t="s">
        <v>559</v>
      </c>
      <c r="EM214" s="133"/>
      <c r="EN214" s="133"/>
      <c r="EO214" s="133"/>
      <c r="EP214" s="133"/>
      <c r="EQ214" s="133"/>
      <c r="IR214" s="42">
        <f>CP214*1</f>
        <v>0</v>
      </c>
      <c r="IS214" s="42">
        <f>CP214*(1-1)</f>
        <v>0</v>
      </c>
    </row>
    <row r="215" spans="1:147" ht="12.75">
      <c r="A215" s="136" t="s">
        <v>5</v>
      </c>
      <c r="B215" s="137"/>
      <c r="C215" s="136" t="s">
        <v>5</v>
      </c>
      <c r="D215" s="137"/>
      <c r="E215" s="137"/>
      <c r="F215" s="136" t="s">
        <v>64</v>
      </c>
      <c r="G215" s="137"/>
      <c r="H215" s="137"/>
      <c r="I215" s="137"/>
      <c r="J215" s="137"/>
      <c r="K215" s="137"/>
      <c r="L215" s="136" t="s">
        <v>508</v>
      </c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6" t="s">
        <v>5</v>
      </c>
      <c r="AT215" s="137"/>
      <c r="AU215" s="136" t="s">
        <v>5</v>
      </c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8" t="s">
        <v>5</v>
      </c>
      <c r="CL215" s="139"/>
      <c r="CM215" s="139"/>
      <c r="CN215" s="139"/>
      <c r="CO215" s="139"/>
      <c r="CP215" s="138" t="s">
        <v>5</v>
      </c>
      <c r="CQ215" s="139"/>
      <c r="CR215" s="139"/>
      <c r="CS215" s="139"/>
      <c r="CT215" s="139"/>
      <c r="CU215" s="139"/>
      <c r="CV215" s="139"/>
      <c r="CW215" s="139"/>
      <c r="CX215" s="134">
        <f>SUM(CX216:CX219)</f>
        <v>0</v>
      </c>
      <c r="CY215" s="135"/>
      <c r="CZ215" s="135"/>
      <c r="DA215" s="135"/>
      <c r="DB215" s="135"/>
      <c r="DC215" s="135"/>
      <c r="DD215" s="135"/>
      <c r="DE215" s="135"/>
      <c r="DF215" s="144">
        <f>SUM(DF216:DF219)</f>
        <v>0</v>
      </c>
      <c r="DG215" s="139"/>
      <c r="DH215" s="139"/>
      <c r="DI215" s="139"/>
      <c r="DJ215" s="139"/>
      <c r="DK215" s="139"/>
      <c r="DL215" s="139"/>
      <c r="DM215" s="139"/>
      <c r="DN215" s="144">
        <f>SUM(DN216:DN219)</f>
        <v>0</v>
      </c>
      <c r="DO215" s="139"/>
      <c r="DP215" s="139"/>
      <c r="DQ215" s="139"/>
      <c r="DR215" s="139"/>
      <c r="DS215" s="139"/>
      <c r="DT215" s="139"/>
      <c r="DU215" s="139"/>
      <c r="DV215" s="138" t="s">
        <v>5</v>
      </c>
      <c r="DW215" s="139"/>
      <c r="DX215" s="139"/>
      <c r="DY215" s="139"/>
      <c r="DZ215" s="139"/>
      <c r="EA215" s="139"/>
      <c r="EB215" s="139"/>
      <c r="EC215" s="139"/>
      <c r="ED215" s="144">
        <f>SUM(ED216:ED219)</f>
        <v>1245.2269000000001</v>
      </c>
      <c r="EE215" s="139"/>
      <c r="EF215" s="139"/>
      <c r="EG215" s="139"/>
      <c r="EH215" s="139"/>
      <c r="EI215" s="139"/>
      <c r="EJ215" s="139"/>
      <c r="EK215" s="139"/>
      <c r="EL215" s="136" t="s">
        <v>5</v>
      </c>
      <c r="EM215" s="137"/>
      <c r="EN215" s="137"/>
      <c r="EO215" s="137"/>
      <c r="EP215" s="137"/>
      <c r="EQ215" s="137"/>
    </row>
    <row r="216" spans="1:253" ht="12.75">
      <c r="A216" s="142" t="s">
        <v>186</v>
      </c>
      <c r="B216" s="143"/>
      <c r="C216" s="142" t="s">
        <v>200</v>
      </c>
      <c r="D216" s="143"/>
      <c r="E216" s="143"/>
      <c r="F216" s="142" t="s">
        <v>332</v>
      </c>
      <c r="G216" s="143"/>
      <c r="H216" s="143"/>
      <c r="I216" s="143"/>
      <c r="J216" s="143"/>
      <c r="K216" s="143"/>
      <c r="L216" s="142" t="s">
        <v>509</v>
      </c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2" t="s">
        <v>528</v>
      </c>
      <c r="AT216" s="143"/>
      <c r="AU216" s="142" t="s">
        <v>735</v>
      </c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0">
        <f>'Výkaz výměr'!F236</f>
        <v>1100</v>
      </c>
      <c r="CL216" s="141"/>
      <c r="CM216" s="141"/>
      <c r="CN216" s="141"/>
      <c r="CO216" s="141"/>
      <c r="CP216" s="140">
        <f>'Výkaz výměr'!G236</f>
        <v>0</v>
      </c>
      <c r="CQ216" s="141"/>
      <c r="CR216" s="141"/>
      <c r="CS216" s="141"/>
      <c r="CT216" s="141"/>
      <c r="CU216" s="141"/>
      <c r="CV216" s="141"/>
      <c r="CW216" s="141"/>
      <c r="CX216" s="140">
        <f>IR216*CK216</f>
        <v>0</v>
      </c>
      <c r="CY216" s="141"/>
      <c r="CZ216" s="141"/>
      <c r="DA216" s="141"/>
      <c r="DB216" s="141"/>
      <c r="DC216" s="141"/>
      <c r="DD216" s="141"/>
      <c r="DE216" s="141"/>
      <c r="DF216" s="140">
        <f>IS216*CK216</f>
        <v>0</v>
      </c>
      <c r="DG216" s="141"/>
      <c r="DH216" s="141"/>
      <c r="DI216" s="141"/>
      <c r="DJ216" s="141"/>
      <c r="DK216" s="141"/>
      <c r="DL216" s="141"/>
      <c r="DM216" s="141"/>
      <c r="DN216" s="140">
        <f>IR216*CK216+IS216*CK216</f>
        <v>0</v>
      </c>
      <c r="DO216" s="141"/>
      <c r="DP216" s="141"/>
      <c r="DQ216" s="141"/>
      <c r="DR216" s="141"/>
      <c r="DS216" s="141"/>
      <c r="DT216" s="141"/>
      <c r="DU216" s="141"/>
      <c r="DV216" s="140">
        <f>'Výkaz výměr'!L236</f>
        <v>0.54362</v>
      </c>
      <c r="DW216" s="141"/>
      <c r="DX216" s="141"/>
      <c r="DY216" s="141"/>
      <c r="DZ216" s="141"/>
      <c r="EA216" s="141"/>
      <c r="EB216" s="141"/>
      <c r="EC216" s="141"/>
      <c r="ED216" s="140">
        <f>DV216*CK216</f>
        <v>597.982</v>
      </c>
      <c r="EE216" s="141"/>
      <c r="EF216" s="141"/>
      <c r="EG216" s="141"/>
      <c r="EH216" s="141"/>
      <c r="EI216" s="141"/>
      <c r="EJ216" s="141"/>
      <c r="EK216" s="141"/>
      <c r="EL216" s="142" t="s">
        <v>559</v>
      </c>
      <c r="EM216" s="143"/>
      <c r="EN216" s="143"/>
      <c r="EO216" s="143"/>
      <c r="EP216" s="143"/>
      <c r="EQ216" s="143"/>
      <c r="IR216" s="43">
        <f>CP216*0.521534892433609</f>
        <v>0</v>
      </c>
      <c r="IS216" s="43">
        <f>CP216*(1-0.521534892433609)</f>
        <v>0</v>
      </c>
    </row>
    <row r="217" spans="1:253" ht="12.75">
      <c r="A217" s="142" t="s">
        <v>187</v>
      </c>
      <c r="B217" s="143"/>
      <c r="C217" s="142" t="s">
        <v>200</v>
      </c>
      <c r="D217" s="143"/>
      <c r="E217" s="143"/>
      <c r="F217" s="142" t="s">
        <v>333</v>
      </c>
      <c r="G217" s="143"/>
      <c r="H217" s="143"/>
      <c r="I217" s="143"/>
      <c r="J217" s="143"/>
      <c r="K217" s="143"/>
      <c r="L217" s="142" t="s">
        <v>511</v>
      </c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2" t="s">
        <v>528</v>
      </c>
      <c r="AT217" s="143"/>
      <c r="AU217" s="142" t="s">
        <v>736</v>
      </c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43"/>
      <c r="CH217" s="143"/>
      <c r="CI217" s="143"/>
      <c r="CJ217" s="143"/>
      <c r="CK217" s="140">
        <f>'Výkaz výměr'!F238</f>
        <v>1100</v>
      </c>
      <c r="CL217" s="141"/>
      <c r="CM217" s="141"/>
      <c r="CN217" s="141"/>
      <c r="CO217" s="141"/>
      <c r="CP217" s="140">
        <f>'Výkaz výměr'!G238</f>
        <v>0</v>
      </c>
      <c r="CQ217" s="141"/>
      <c r="CR217" s="141"/>
      <c r="CS217" s="141"/>
      <c r="CT217" s="141"/>
      <c r="CU217" s="141"/>
      <c r="CV217" s="141"/>
      <c r="CW217" s="141"/>
      <c r="CX217" s="140">
        <f>IR217*CK217</f>
        <v>0</v>
      </c>
      <c r="CY217" s="141"/>
      <c r="CZ217" s="141"/>
      <c r="DA217" s="141"/>
      <c r="DB217" s="141"/>
      <c r="DC217" s="141"/>
      <c r="DD217" s="141"/>
      <c r="DE217" s="141"/>
      <c r="DF217" s="140">
        <f>IS217*CK217</f>
        <v>0</v>
      </c>
      <c r="DG217" s="141"/>
      <c r="DH217" s="141"/>
      <c r="DI217" s="141"/>
      <c r="DJ217" s="141"/>
      <c r="DK217" s="141"/>
      <c r="DL217" s="141"/>
      <c r="DM217" s="141"/>
      <c r="DN217" s="140">
        <f>IR217*CK217+IS217*CK217</f>
        <v>0</v>
      </c>
      <c r="DO217" s="141"/>
      <c r="DP217" s="141"/>
      <c r="DQ217" s="141"/>
      <c r="DR217" s="141"/>
      <c r="DS217" s="141"/>
      <c r="DT217" s="141"/>
      <c r="DU217" s="141"/>
      <c r="DV217" s="140">
        <f>'Výkaz výměr'!L238</f>
        <v>0.4536</v>
      </c>
      <c r="DW217" s="141"/>
      <c r="DX217" s="141"/>
      <c r="DY217" s="141"/>
      <c r="DZ217" s="141"/>
      <c r="EA217" s="141"/>
      <c r="EB217" s="141"/>
      <c r="EC217" s="141"/>
      <c r="ED217" s="140">
        <f>DV217*CK217</f>
        <v>498.96</v>
      </c>
      <c r="EE217" s="141"/>
      <c r="EF217" s="141"/>
      <c r="EG217" s="141"/>
      <c r="EH217" s="141"/>
      <c r="EI217" s="141"/>
      <c r="EJ217" s="141"/>
      <c r="EK217" s="141"/>
      <c r="EL217" s="142" t="s">
        <v>559</v>
      </c>
      <c r="EM217" s="143"/>
      <c r="EN217" s="143"/>
      <c r="EO217" s="143"/>
      <c r="EP217" s="143"/>
      <c r="EQ217" s="143"/>
      <c r="IR217" s="43">
        <f>CP217*0.876940639269406</f>
        <v>0</v>
      </c>
      <c r="IS217" s="43">
        <f>CP217*(1-0.876940639269406)</f>
        <v>0</v>
      </c>
    </row>
    <row r="218" spans="1:253" ht="12.75">
      <c r="A218" s="142" t="s">
        <v>188</v>
      </c>
      <c r="B218" s="143"/>
      <c r="C218" s="142" t="s">
        <v>200</v>
      </c>
      <c r="D218" s="143"/>
      <c r="E218" s="143"/>
      <c r="F218" s="142" t="s">
        <v>334</v>
      </c>
      <c r="G218" s="143"/>
      <c r="H218" s="143"/>
      <c r="I218" s="143"/>
      <c r="J218" s="143"/>
      <c r="K218" s="143"/>
      <c r="L218" s="142" t="s">
        <v>512</v>
      </c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2" t="s">
        <v>526</v>
      </c>
      <c r="AT218" s="143"/>
      <c r="AU218" s="142" t="s">
        <v>737</v>
      </c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0">
        <f>'Výkaz výměr'!F240</f>
        <v>549</v>
      </c>
      <c r="CL218" s="141"/>
      <c r="CM218" s="141"/>
      <c r="CN218" s="141"/>
      <c r="CO218" s="141"/>
      <c r="CP218" s="140">
        <f>'Výkaz výměr'!G240</f>
        <v>0</v>
      </c>
      <c r="CQ218" s="141"/>
      <c r="CR218" s="141"/>
      <c r="CS218" s="141"/>
      <c r="CT218" s="141"/>
      <c r="CU218" s="141"/>
      <c r="CV218" s="141"/>
      <c r="CW218" s="141"/>
      <c r="CX218" s="140">
        <f>IR218*CK218</f>
        <v>0</v>
      </c>
      <c r="CY218" s="141"/>
      <c r="CZ218" s="141"/>
      <c r="DA218" s="141"/>
      <c r="DB218" s="141"/>
      <c r="DC218" s="141"/>
      <c r="DD218" s="141"/>
      <c r="DE218" s="141"/>
      <c r="DF218" s="140">
        <f>IS218*CK218</f>
        <v>0</v>
      </c>
      <c r="DG218" s="141"/>
      <c r="DH218" s="141"/>
      <c r="DI218" s="141"/>
      <c r="DJ218" s="141"/>
      <c r="DK218" s="141"/>
      <c r="DL218" s="141"/>
      <c r="DM218" s="141"/>
      <c r="DN218" s="140">
        <f>IR218*CK218+IS218*CK218</f>
        <v>0</v>
      </c>
      <c r="DO218" s="141"/>
      <c r="DP218" s="141"/>
      <c r="DQ218" s="141"/>
      <c r="DR218" s="141"/>
      <c r="DS218" s="141"/>
      <c r="DT218" s="141"/>
      <c r="DU218" s="141"/>
      <c r="DV218" s="140">
        <f>'Výkaz výměr'!L240</f>
        <v>0.188</v>
      </c>
      <c r="DW218" s="141"/>
      <c r="DX218" s="141"/>
      <c r="DY218" s="141"/>
      <c r="DZ218" s="141"/>
      <c r="EA218" s="141"/>
      <c r="EB218" s="141"/>
      <c r="EC218" s="141"/>
      <c r="ED218" s="140">
        <f>DV218*CK218</f>
        <v>103.212</v>
      </c>
      <c r="EE218" s="141"/>
      <c r="EF218" s="141"/>
      <c r="EG218" s="141"/>
      <c r="EH218" s="141"/>
      <c r="EI218" s="141"/>
      <c r="EJ218" s="141"/>
      <c r="EK218" s="141"/>
      <c r="EL218" s="142" t="s">
        <v>559</v>
      </c>
      <c r="EM218" s="143"/>
      <c r="EN218" s="143"/>
      <c r="EO218" s="143"/>
      <c r="EP218" s="143"/>
      <c r="EQ218" s="143"/>
      <c r="IR218" s="43">
        <f>CP218*0.560357781753131</f>
        <v>0</v>
      </c>
      <c r="IS218" s="43">
        <f>CP218*(1-0.560357781753131)</f>
        <v>0</v>
      </c>
    </row>
    <row r="219" spans="1:253" ht="12.75">
      <c r="A219" s="132" t="s">
        <v>189</v>
      </c>
      <c r="B219" s="133"/>
      <c r="C219" s="132" t="s">
        <v>200</v>
      </c>
      <c r="D219" s="133"/>
      <c r="E219" s="133"/>
      <c r="F219" s="132" t="s">
        <v>335</v>
      </c>
      <c r="G219" s="133"/>
      <c r="H219" s="133"/>
      <c r="I219" s="133"/>
      <c r="J219" s="133"/>
      <c r="K219" s="133"/>
      <c r="L219" s="132" t="s">
        <v>513</v>
      </c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2" t="s">
        <v>534</v>
      </c>
      <c r="AT219" s="133"/>
      <c r="AU219" s="132" t="s">
        <v>738</v>
      </c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0">
        <f>'Výkaz výměr'!F241</f>
        <v>549</v>
      </c>
      <c r="CL219" s="131"/>
      <c r="CM219" s="131"/>
      <c r="CN219" s="131"/>
      <c r="CO219" s="131"/>
      <c r="CP219" s="130">
        <f>'Výkaz výměr'!G241</f>
        <v>0</v>
      </c>
      <c r="CQ219" s="131"/>
      <c r="CR219" s="131"/>
      <c r="CS219" s="131"/>
      <c r="CT219" s="131"/>
      <c r="CU219" s="131"/>
      <c r="CV219" s="131"/>
      <c r="CW219" s="131"/>
      <c r="CX219" s="130">
        <f>IR219*CK219</f>
        <v>0</v>
      </c>
      <c r="CY219" s="131"/>
      <c r="CZ219" s="131"/>
      <c r="DA219" s="131"/>
      <c r="DB219" s="131"/>
      <c r="DC219" s="131"/>
      <c r="DD219" s="131"/>
      <c r="DE219" s="131"/>
      <c r="DF219" s="130">
        <f>IS219*CK219</f>
        <v>0</v>
      </c>
      <c r="DG219" s="131"/>
      <c r="DH219" s="131"/>
      <c r="DI219" s="131"/>
      <c r="DJ219" s="131"/>
      <c r="DK219" s="131"/>
      <c r="DL219" s="131"/>
      <c r="DM219" s="131"/>
      <c r="DN219" s="130">
        <f>IR219*CK219+IS219*CK219</f>
        <v>0</v>
      </c>
      <c r="DO219" s="131"/>
      <c r="DP219" s="131"/>
      <c r="DQ219" s="131"/>
      <c r="DR219" s="131"/>
      <c r="DS219" s="131"/>
      <c r="DT219" s="131"/>
      <c r="DU219" s="131"/>
      <c r="DV219" s="130">
        <f>'Výkaz výměr'!L241</f>
        <v>0.0821</v>
      </c>
      <c r="DW219" s="131"/>
      <c r="DX219" s="131"/>
      <c r="DY219" s="131"/>
      <c r="DZ219" s="131"/>
      <c r="EA219" s="131"/>
      <c r="EB219" s="131"/>
      <c r="EC219" s="131"/>
      <c r="ED219" s="130">
        <f>DV219*CK219</f>
        <v>45.072900000000004</v>
      </c>
      <c r="EE219" s="131"/>
      <c r="EF219" s="131"/>
      <c r="EG219" s="131"/>
      <c r="EH219" s="131"/>
      <c r="EI219" s="131"/>
      <c r="EJ219" s="131"/>
      <c r="EK219" s="131"/>
      <c r="EL219" s="132" t="s">
        <v>559</v>
      </c>
      <c r="EM219" s="133"/>
      <c r="EN219" s="133"/>
      <c r="EO219" s="133"/>
      <c r="EP219" s="133"/>
      <c r="EQ219" s="133"/>
      <c r="IR219" s="42">
        <f>CP219*1</f>
        <v>0</v>
      </c>
      <c r="IS219" s="42">
        <f>CP219*(1-1)</f>
        <v>0</v>
      </c>
    </row>
    <row r="220" spans="1:147" ht="12.75">
      <c r="A220" s="136" t="s">
        <v>5</v>
      </c>
      <c r="B220" s="137"/>
      <c r="C220" s="136" t="s">
        <v>5</v>
      </c>
      <c r="D220" s="137"/>
      <c r="E220" s="137"/>
      <c r="F220" s="136" t="s">
        <v>336</v>
      </c>
      <c r="G220" s="137"/>
      <c r="H220" s="137"/>
      <c r="I220" s="137"/>
      <c r="J220" s="137"/>
      <c r="K220" s="137"/>
      <c r="L220" s="136" t="s">
        <v>514</v>
      </c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6" t="s">
        <v>5</v>
      </c>
      <c r="AT220" s="137"/>
      <c r="AU220" s="136" t="s">
        <v>5</v>
      </c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8" t="s">
        <v>5</v>
      </c>
      <c r="CL220" s="139"/>
      <c r="CM220" s="139"/>
      <c r="CN220" s="139"/>
      <c r="CO220" s="139"/>
      <c r="CP220" s="138" t="s">
        <v>5</v>
      </c>
      <c r="CQ220" s="139"/>
      <c r="CR220" s="139"/>
      <c r="CS220" s="139"/>
      <c r="CT220" s="139"/>
      <c r="CU220" s="139"/>
      <c r="CV220" s="139"/>
      <c r="CW220" s="139"/>
      <c r="CX220" s="134">
        <f>SUM(CX221:CX221)</f>
        <v>0</v>
      </c>
      <c r="CY220" s="135"/>
      <c r="CZ220" s="135"/>
      <c r="DA220" s="135"/>
      <c r="DB220" s="135"/>
      <c r="DC220" s="135"/>
      <c r="DD220" s="135"/>
      <c r="DE220" s="135"/>
      <c r="DF220" s="144">
        <f>SUM(DF221:DF221)</f>
        <v>0</v>
      </c>
      <c r="DG220" s="139"/>
      <c r="DH220" s="139"/>
      <c r="DI220" s="139"/>
      <c r="DJ220" s="139"/>
      <c r="DK220" s="139"/>
      <c r="DL220" s="139"/>
      <c r="DM220" s="139"/>
      <c r="DN220" s="144">
        <f>SUM(DN221:DN221)</f>
        <v>0</v>
      </c>
      <c r="DO220" s="139"/>
      <c r="DP220" s="139"/>
      <c r="DQ220" s="139"/>
      <c r="DR220" s="139"/>
      <c r="DS220" s="139"/>
      <c r="DT220" s="139"/>
      <c r="DU220" s="139"/>
      <c r="DV220" s="138" t="s">
        <v>5</v>
      </c>
      <c r="DW220" s="139"/>
      <c r="DX220" s="139"/>
      <c r="DY220" s="139"/>
      <c r="DZ220" s="139"/>
      <c r="EA220" s="139"/>
      <c r="EB220" s="139"/>
      <c r="EC220" s="139"/>
      <c r="ED220" s="144">
        <f>SUM(ED221:ED221)</f>
        <v>0</v>
      </c>
      <c r="EE220" s="139"/>
      <c r="EF220" s="139"/>
      <c r="EG220" s="139"/>
      <c r="EH220" s="139"/>
      <c r="EI220" s="139"/>
      <c r="EJ220" s="139"/>
      <c r="EK220" s="139"/>
      <c r="EL220" s="136" t="s">
        <v>5</v>
      </c>
      <c r="EM220" s="137"/>
      <c r="EN220" s="137"/>
      <c r="EO220" s="137"/>
      <c r="EP220" s="137"/>
      <c r="EQ220" s="137"/>
    </row>
    <row r="221" spans="1:253" ht="12.75">
      <c r="A221" s="142" t="s">
        <v>190</v>
      </c>
      <c r="B221" s="143"/>
      <c r="C221" s="142" t="s">
        <v>200</v>
      </c>
      <c r="D221" s="143"/>
      <c r="E221" s="143"/>
      <c r="F221" s="142" t="s">
        <v>337</v>
      </c>
      <c r="G221" s="143"/>
      <c r="H221" s="143"/>
      <c r="I221" s="143"/>
      <c r="J221" s="143"/>
      <c r="K221" s="143"/>
      <c r="L221" s="142" t="s">
        <v>515</v>
      </c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2" t="s">
        <v>529</v>
      </c>
      <c r="AT221" s="143"/>
      <c r="AU221" s="142" t="s">
        <v>739</v>
      </c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0">
        <f>'Výkaz výměr'!F243</f>
        <v>3871.9841</v>
      </c>
      <c r="CL221" s="141"/>
      <c r="CM221" s="141"/>
      <c r="CN221" s="141"/>
      <c r="CO221" s="141"/>
      <c r="CP221" s="140">
        <f>'Výkaz výměr'!G243</f>
        <v>0</v>
      </c>
      <c r="CQ221" s="141"/>
      <c r="CR221" s="141"/>
      <c r="CS221" s="141"/>
      <c r="CT221" s="141"/>
      <c r="CU221" s="141"/>
      <c r="CV221" s="141"/>
      <c r="CW221" s="141"/>
      <c r="CX221" s="140">
        <f>IR221*CK221</f>
        <v>0</v>
      </c>
      <c r="CY221" s="141"/>
      <c r="CZ221" s="141"/>
      <c r="DA221" s="141"/>
      <c r="DB221" s="141"/>
      <c r="DC221" s="141"/>
      <c r="DD221" s="141"/>
      <c r="DE221" s="141"/>
      <c r="DF221" s="140">
        <f>IS221*CK221</f>
        <v>0</v>
      </c>
      <c r="DG221" s="141"/>
      <c r="DH221" s="141"/>
      <c r="DI221" s="141"/>
      <c r="DJ221" s="141"/>
      <c r="DK221" s="141"/>
      <c r="DL221" s="141"/>
      <c r="DM221" s="141"/>
      <c r="DN221" s="140">
        <f>IR221*CK221+IS221*CK221</f>
        <v>0</v>
      </c>
      <c r="DO221" s="141"/>
      <c r="DP221" s="141"/>
      <c r="DQ221" s="141"/>
      <c r="DR221" s="141"/>
      <c r="DS221" s="141"/>
      <c r="DT221" s="141"/>
      <c r="DU221" s="141"/>
      <c r="DV221" s="140">
        <f>'Výkaz výměr'!L243</f>
        <v>0</v>
      </c>
      <c r="DW221" s="141"/>
      <c r="DX221" s="141"/>
      <c r="DY221" s="141"/>
      <c r="DZ221" s="141"/>
      <c r="EA221" s="141"/>
      <c r="EB221" s="141"/>
      <c r="EC221" s="141"/>
      <c r="ED221" s="140">
        <f>DV221*CK221</f>
        <v>0</v>
      </c>
      <c r="EE221" s="141"/>
      <c r="EF221" s="141"/>
      <c r="EG221" s="141"/>
      <c r="EH221" s="141"/>
      <c r="EI221" s="141"/>
      <c r="EJ221" s="141"/>
      <c r="EK221" s="141"/>
      <c r="EL221" s="142" t="s">
        <v>559</v>
      </c>
      <c r="EM221" s="143"/>
      <c r="EN221" s="143"/>
      <c r="EO221" s="143"/>
      <c r="EP221" s="143"/>
      <c r="EQ221" s="143"/>
      <c r="IR221" s="43">
        <f>CP221*0</f>
        <v>0</v>
      </c>
      <c r="IS221" s="43">
        <f>CP221*(1-0)</f>
        <v>0</v>
      </c>
    </row>
    <row r="222" spans="1:147" ht="12.75">
      <c r="A222" s="136" t="s">
        <v>5</v>
      </c>
      <c r="B222" s="137"/>
      <c r="C222" s="136" t="s">
        <v>5</v>
      </c>
      <c r="D222" s="137"/>
      <c r="E222" s="137"/>
      <c r="F222" s="136"/>
      <c r="G222" s="137"/>
      <c r="H222" s="137"/>
      <c r="I222" s="137"/>
      <c r="J222" s="137"/>
      <c r="K222" s="137"/>
      <c r="L222" s="136" t="s">
        <v>440</v>
      </c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6" t="s">
        <v>5</v>
      </c>
      <c r="AT222" s="137"/>
      <c r="AU222" s="136" t="s">
        <v>5</v>
      </c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8" t="s">
        <v>5</v>
      </c>
      <c r="CL222" s="139"/>
      <c r="CM222" s="139"/>
      <c r="CN222" s="139"/>
      <c r="CO222" s="139"/>
      <c r="CP222" s="138" t="s">
        <v>5</v>
      </c>
      <c r="CQ222" s="139"/>
      <c r="CR222" s="139"/>
      <c r="CS222" s="139"/>
      <c r="CT222" s="139"/>
      <c r="CU222" s="139"/>
      <c r="CV222" s="139"/>
      <c r="CW222" s="139"/>
      <c r="CX222" s="134">
        <f>SUM(CX223:CX227)</f>
        <v>0</v>
      </c>
      <c r="CY222" s="135"/>
      <c r="CZ222" s="135"/>
      <c r="DA222" s="135"/>
      <c r="DB222" s="135"/>
      <c r="DC222" s="135"/>
      <c r="DD222" s="135"/>
      <c r="DE222" s="135"/>
      <c r="DF222" s="134">
        <f>SUM(DF223:DF227)</f>
        <v>0</v>
      </c>
      <c r="DG222" s="135"/>
      <c r="DH222" s="135"/>
      <c r="DI222" s="135"/>
      <c r="DJ222" s="135"/>
      <c r="DK222" s="135"/>
      <c r="DL222" s="135"/>
      <c r="DM222" s="135"/>
      <c r="DN222" s="134">
        <f>SUM(DN223:DN227)</f>
        <v>0</v>
      </c>
      <c r="DO222" s="135"/>
      <c r="DP222" s="135"/>
      <c r="DQ222" s="135"/>
      <c r="DR222" s="135"/>
      <c r="DS222" s="135"/>
      <c r="DT222" s="135"/>
      <c r="DU222" s="135"/>
      <c r="DV222" s="138" t="s">
        <v>5</v>
      </c>
      <c r="DW222" s="139"/>
      <c r="DX222" s="139"/>
      <c r="DY222" s="139"/>
      <c r="DZ222" s="139"/>
      <c r="EA222" s="139"/>
      <c r="EB222" s="139"/>
      <c r="EC222" s="139"/>
      <c r="ED222" s="134">
        <f>SUM(ED223:ED227)</f>
        <v>0</v>
      </c>
      <c r="EE222" s="135"/>
      <c r="EF222" s="135"/>
      <c r="EG222" s="135"/>
      <c r="EH222" s="135"/>
      <c r="EI222" s="135"/>
      <c r="EJ222" s="135"/>
      <c r="EK222" s="135"/>
      <c r="EL222" s="136" t="s">
        <v>5</v>
      </c>
      <c r="EM222" s="137"/>
      <c r="EN222" s="137"/>
      <c r="EO222" s="137"/>
      <c r="EP222" s="137"/>
      <c r="EQ222" s="137"/>
    </row>
    <row r="223" spans="1:253" ht="12.75">
      <c r="A223" s="132" t="s">
        <v>191</v>
      </c>
      <c r="B223" s="133"/>
      <c r="C223" s="132" t="s">
        <v>200</v>
      </c>
      <c r="D223" s="133"/>
      <c r="E223" s="133"/>
      <c r="F223" s="132" t="s">
        <v>284</v>
      </c>
      <c r="G223" s="133"/>
      <c r="H223" s="133"/>
      <c r="I223" s="133"/>
      <c r="J223" s="133"/>
      <c r="K223" s="133"/>
      <c r="L223" s="132" t="s">
        <v>516</v>
      </c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2" t="s">
        <v>535</v>
      </c>
      <c r="AT223" s="133"/>
      <c r="AU223" s="132" t="s">
        <v>609</v>
      </c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0">
        <f>'Výkaz výměr'!F245</f>
        <v>1</v>
      </c>
      <c r="CL223" s="131"/>
      <c r="CM223" s="131"/>
      <c r="CN223" s="131"/>
      <c r="CO223" s="131"/>
      <c r="CP223" s="130">
        <f>'Výkaz výměr'!G245</f>
        <v>0</v>
      </c>
      <c r="CQ223" s="131"/>
      <c r="CR223" s="131"/>
      <c r="CS223" s="131"/>
      <c r="CT223" s="131"/>
      <c r="CU223" s="131"/>
      <c r="CV223" s="131"/>
      <c r="CW223" s="131"/>
      <c r="CX223" s="130">
        <f>IR223*CK223</f>
        <v>0</v>
      </c>
      <c r="CY223" s="131"/>
      <c r="CZ223" s="131"/>
      <c r="DA223" s="131"/>
      <c r="DB223" s="131"/>
      <c r="DC223" s="131"/>
      <c r="DD223" s="131"/>
      <c r="DE223" s="131"/>
      <c r="DF223" s="130">
        <f>IS223*CK223</f>
        <v>0</v>
      </c>
      <c r="DG223" s="131"/>
      <c r="DH223" s="131"/>
      <c r="DI223" s="131"/>
      <c r="DJ223" s="131"/>
      <c r="DK223" s="131"/>
      <c r="DL223" s="131"/>
      <c r="DM223" s="131"/>
      <c r="DN223" s="130">
        <f>IR223*CK223+IS223*CK223</f>
        <v>0</v>
      </c>
      <c r="DO223" s="131"/>
      <c r="DP223" s="131"/>
      <c r="DQ223" s="131"/>
      <c r="DR223" s="131"/>
      <c r="DS223" s="131"/>
      <c r="DT223" s="131"/>
      <c r="DU223" s="131"/>
      <c r="DV223" s="130">
        <f>'Výkaz výměr'!L245</f>
        <v>0</v>
      </c>
      <c r="DW223" s="131"/>
      <c r="DX223" s="131"/>
      <c r="DY223" s="131"/>
      <c r="DZ223" s="131"/>
      <c r="EA223" s="131"/>
      <c r="EB223" s="131"/>
      <c r="EC223" s="131"/>
      <c r="ED223" s="130">
        <f>DV223*CK223</f>
        <v>0</v>
      </c>
      <c r="EE223" s="131"/>
      <c r="EF223" s="131"/>
      <c r="EG223" s="131"/>
      <c r="EH223" s="131"/>
      <c r="EI223" s="131"/>
      <c r="EJ223" s="131"/>
      <c r="EK223" s="131"/>
      <c r="EL223" s="132"/>
      <c r="EM223" s="133"/>
      <c r="EN223" s="133"/>
      <c r="EO223" s="133"/>
      <c r="EP223" s="133"/>
      <c r="EQ223" s="133"/>
      <c r="IR223" s="42">
        <f>CP223*1</f>
        <v>0</v>
      </c>
      <c r="IS223" s="42">
        <f>CP223*(1-1)</f>
        <v>0</v>
      </c>
    </row>
    <row r="224" spans="1:253" ht="12.75">
      <c r="A224" s="132" t="s">
        <v>192</v>
      </c>
      <c r="B224" s="133"/>
      <c r="C224" s="132" t="s">
        <v>200</v>
      </c>
      <c r="D224" s="133"/>
      <c r="E224" s="133"/>
      <c r="F224" s="132" t="s">
        <v>338</v>
      </c>
      <c r="G224" s="133"/>
      <c r="H224" s="133"/>
      <c r="I224" s="133"/>
      <c r="J224" s="133"/>
      <c r="K224" s="133"/>
      <c r="L224" s="132" t="s">
        <v>517</v>
      </c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2" t="s">
        <v>533</v>
      </c>
      <c r="AT224" s="133"/>
      <c r="AU224" s="132" t="s">
        <v>740</v>
      </c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0">
        <f>'Výkaz výměr'!F246</f>
        <v>6</v>
      </c>
      <c r="CL224" s="131"/>
      <c r="CM224" s="131"/>
      <c r="CN224" s="131"/>
      <c r="CO224" s="131"/>
      <c r="CP224" s="130">
        <f>'Výkaz výměr'!G246</f>
        <v>0</v>
      </c>
      <c r="CQ224" s="131"/>
      <c r="CR224" s="131"/>
      <c r="CS224" s="131"/>
      <c r="CT224" s="131"/>
      <c r="CU224" s="131"/>
      <c r="CV224" s="131"/>
      <c r="CW224" s="131"/>
      <c r="CX224" s="130">
        <f>IR224*CK224</f>
        <v>0</v>
      </c>
      <c r="CY224" s="131"/>
      <c r="CZ224" s="131"/>
      <c r="DA224" s="131"/>
      <c r="DB224" s="131"/>
      <c r="DC224" s="131"/>
      <c r="DD224" s="131"/>
      <c r="DE224" s="131"/>
      <c r="DF224" s="130">
        <f>IS224*CK224</f>
        <v>0</v>
      </c>
      <c r="DG224" s="131"/>
      <c r="DH224" s="131"/>
      <c r="DI224" s="131"/>
      <c r="DJ224" s="131"/>
      <c r="DK224" s="131"/>
      <c r="DL224" s="131"/>
      <c r="DM224" s="131"/>
      <c r="DN224" s="130">
        <f>IR224*CK224+IS224*CK224</f>
        <v>0</v>
      </c>
      <c r="DO224" s="131"/>
      <c r="DP224" s="131"/>
      <c r="DQ224" s="131"/>
      <c r="DR224" s="131"/>
      <c r="DS224" s="131"/>
      <c r="DT224" s="131"/>
      <c r="DU224" s="131"/>
      <c r="DV224" s="130">
        <f>'Výkaz výměr'!L246</f>
        <v>0</v>
      </c>
      <c r="DW224" s="131"/>
      <c r="DX224" s="131"/>
      <c r="DY224" s="131"/>
      <c r="DZ224" s="131"/>
      <c r="EA224" s="131"/>
      <c r="EB224" s="131"/>
      <c r="EC224" s="131"/>
      <c r="ED224" s="130">
        <f>DV224*CK224</f>
        <v>0</v>
      </c>
      <c r="EE224" s="131"/>
      <c r="EF224" s="131"/>
      <c r="EG224" s="131"/>
      <c r="EH224" s="131"/>
      <c r="EI224" s="131"/>
      <c r="EJ224" s="131"/>
      <c r="EK224" s="131"/>
      <c r="EL224" s="132"/>
      <c r="EM224" s="133"/>
      <c r="EN224" s="133"/>
      <c r="EO224" s="133"/>
      <c r="EP224" s="133"/>
      <c r="EQ224" s="133"/>
      <c r="IR224" s="42">
        <f>CP224*1</f>
        <v>0</v>
      </c>
      <c r="IS224" s="42">
        <f>CP224*(1-1)</f>
        <v>0</v>
      </c>
    </row>
    <row r="225" spans="1:253" ht="12.75">
      <c r="A225" s="132" t="s">
        <v>193</v>
      </c>
      <c r="B225" s="133"/>
      <c r="C225" s="132" t="s">
        <v>200</v>
      </c>
      <c r="D225" s="133"/>
      <c r="E225" s="133"/>
      <c r="F225" s="132" t="s">
        <v>339</v>
      </c>
      <c r="G225" s="133"/>
      <c r="H225" s="133"/>
      <c r="I225" s="133"/>
      <c r="J225" s="133"/>
      <c r="K225" s="133"/>
      <c r="L225" s="132" t="s">
        <v>518</v>
      </c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2" t="s">
        <v>535</v>
      </c>
      <c r="AT225" s="133"/>
      <c r="AU225" s="132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0">
        <f>'Výkaz výměr'!F247</f>
        <v>1</v>
      </c>
      <c r="CL225" s="131"/>
      <c r="CM225" s="131"/>
      <c r="CN225" s="131"/>
      <c r="CO225" s="131"/>
      <c r="CP225" s="130">
        <f>'Výkaz výměr'!G247</f>
        <v>0</v>
      </c>
      <c r="CQ225" s="131"/>
      <c r="CR225" s="131"/>
      <c r="CS225" s="131"/>
      <c r="CT225" s="131"/>
      <c r="CU225" s="131"/>
      <c r="CV225" s="131"/>
      <c r="CW225" s="131"/>
      <c r="CX225" s="130">
        <f>IR225*CK225</f>
        <v>0</v>
      </c>
      <c r="CY225" s="131"/>
      <c r="CZ225" s="131"/>
      <c r="DA225" s="131"/>
      <c r="DB225" s="131"/>
      <c r="DC225" s="131"/>
      <c r="DD225" s="131"/>
      <c r="DE225" s="131"/>
      <c r="DF225" s="130">
        <f>IS225*CK225</f>
        <v>0</v>
      </c>
      <c r="DG225" s="131"/>
      <c r="DH225" s="131"/>
      <c r="DI225" s="131"/>
      <c r="DJ225" s="131"/>
      <c r="DK225" s="131"/>
      <c r="DL225" s="131"/>
      <c r="DM225" s="131"/>
      <c r="DN225" s="130">
        <f>IR225*CK225+IS225*CK225</f>
        <v>0</v>
      </c>
      <c r="DO225" s="131"/>
      <c r="DP225" s="131"/>
      <c r="DQ225" s="131"/>
      <c r="DR225" s="131"/>
      <c r="DS225" s="131"/>
      <c r="DT225" s="131"/>
      <c r="DU225" s="131"/>
      <c r="DV225" s="130">
        <f>'Výkaz výměr'!L247</f>
        <v>0</v>
      </c>
      <c r="DW225" s="131"/>
      <c r="DX225" s="131"/>
      <c r="DY225" s="131"/>
      <c r="DZ225" s="131"/>
      <c r="EA225" s="131"/>
      <c r="EB225" s="131"/>
      <c r="EC225" s="131"/>
      <c r="ED225" s="130">
        <f>DV225*CK225</f>
        <v>0</v>
      </c>
      <c r="EE225" s="131"/>
      <c r="EF225" s="131"/>
      <c r="EG225" s="131"/>
      <c r="EH225" s="131"/>
      <c r="EI225" s="131"/>
      <c r="EJ225" s="131"/>
      <c r="EK225" s="131"/>
      <c r="EL225" s="132"/>
      <c r="EM225" s="133"/>
      <c r="EN225" s="133"/>
      <c r="EO225" s="133"/>
      <c r="EP225" s="133"/>
      <c r="EQ225" s="133"/>
      <c r="IR225" s="42">
        <f>CP225*1</f>
        <v>0</v>
      </c>
      <c r="IS225" s="42">
        <f>CP225*(1-1)</f>
        <v>0</v>
      </c>
    </row>
    <row r="226" spans="1:253" ht="12.75">
      <c r="A226" s="132" t="s">
        <v>194</v>
      </c>
      <c r="B226" s="133"/>
      <c r="C226" s="132" t="s">
        <v>200</v>
      </c>
      <c r="D226" s="133"/>
      <c r="E226" s="133"/>
      <c r="F226" s="132" t="s">
        <v>340</v>
      </c>
      <c r="G226" s="133"/>
      <c r="H226" s="133"/>
      <c r="I226" s="133"/>
      <c r="J226" s="133"/>
      <c r="K226" s="133"/>
      <c r="L226" s="132" t="s">
        <v>519</v>
      </c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2" t="s">
        <v>535</v>
      </c>
      <c r="AT226" s="133"/>
      <c r="AU226" s="132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0">
        <f>'Výkaz výměr'!F248</f>
        <v>1</v>
      </c>
      <c r="CL226" s="131"/>
      <c r="CM226" s="131"/>
      <c r="CN226" s="131"/>
      <c r="CO226" s="131"/>
      <c r="CP226" s="130">
        <f>'Výkaz výměr'!G248</f>
        <v>0</v>
      </c>
      <c r="CQ226" s="131"/>
      <c r="CR226" s="131"/>
      <c r="CS226" s="131"/>
      <c r="CT226" s="131"/>
      <c r="CU226" s="131"/>
      <c r="CV226" s="131"/>
      <c r="CW226" s="131"/>
      <c r="CX226" s="130">
        <f>IR226*CK226</f>
        <v>0</v>
      </c>
      <c r="CY226" s="131"/>
      <c r="CZ226" s="131"/>
      <c r="DA226" s="131"/>
      <c r="DB226" s="131"/>
      <c r="DC226" s="131"/>
      <c r="DD226" s="131"/>
      <c r="DE226" s="131"/>
      <c r="DF226" s="130">
        <f>IS226*CK226</f>
        <v>0</v>
      </c>
      <c r="DG226" s="131"/>
      <c r="DH226" s="131"/>
      <c r="DI226" s="131"/>
      <c r="DJ226" s="131"/>
      <c r="DK226" s="131"/>
      <c r="DL226" s="131"/>
      <c r="DM226" s="131"/>
      <c r="DN226" s="130">
        <f>IR226*CK226+IS226*CK226</f>
        <v>0</v>
      </c>
      <c r="DO226" s="131"/>
      <c r="DP226" s="131"/>
      <c r="DQ226" s="131"/>
      <c r="DR226" s="131"/>
      <c r="DS226" s="131"/>
      <c r="DT226" s="131"/>
      <c r="DU226" s="131"/>
      <c r="DV226" s="130">
        <f>'Výkaz výměr'!L248</f>
        <v>0</v>
      </c>
      <c r="DW226" s="131"/>
      <c r="DX226" s="131"/>
      <c r="DY226" s="131"/>
      <c r="DZ226" s="131"/>
      <c r="EA226" s="131"/>
      <c r="EB226" s="131"/>
      <c r="EC226" s="131"/>
      <c r="ED226" s="130">
        <f>DV226*CK226</f>
        <v>0</v>
      </c>
      <c r="EE226" s="131"/>
      <c r="EF226" s="131"/>
      <c r="EG226" s="131"/>
      <c r="EH226" s="131"/>
      <c r="EI226" s="131"/>
      <c r="EJ226" s="131"/>
      <c r="EK226" s="131"/>
      <c r="EL226" s="132"/>
      <c r="EM226" s="133"/>
      <c r="EN226" s="133"/>
      <c r="EO226" s="133"/>
      <c r="EP226" s="133"/>
      <c r="EQ226" s="133"/>
      <c r="IR226" s="42">
        <f>CP226*1</f>
        <v>0</v>
      </c>
      <c r="IS226" s="42">
        <f>CP226*(1-1)</f>
        <v>0</v>
      </c>
    </row>
    <row r="227" spans="1:253" ht="12.75">
      <c r="A227" s="132" t="s">
        <v>195</v>
      </c>
      <c r="B227" s="133"/>
      <c r="C227" s="132" t="s">
        <v>200</v>
      </c>
      <c r="D227" s="133"/>
      <c r="E227" s="133"/>
      <c r="F227" s="132" t="s">
        <v>341</v>
      </c>
      <c r="G227" s="133"/>
      <c r="H227" s="133"/>
      <c r="I227" s="133"/>
      <c r="J227" s="133"/>
      <c r="K227" s="133"/>
      <c r="L227" s="132" t="s">
        <v>520</v>
      </c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2" t="s">
        <v>535</v>
      </c>
      <c r="AT227" s="133"/>
      <c r="AU227" s="132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0">
        <f>'Výkaz výměr'!F249</f>
        <v>1</v>
      </c>
      <c r="CL227" s="131"/>
      <c r="CM227" s="131"/>
      <c r="CN227" s="131"/>
      <c r="CO227" s="131"/>
      <c r="CP227" s="130">
        <f>'Výkaz výměr'!G249</f>
        <v>0</v>
      </c>
      <c r="CQ227" s="131"/>
      <c r="CR227" s="131"/>
      <c r="CS227" s="131"/>
      <c r="CT227" s="131"/>
      <c r="CU227" s="131"/>
      <c r="CV227" s="131"/>
      <c r="CW227" s="131"/>
      <c r="CX227" s="130">
        <f>IR227*CK227</f>
        <v>0</v>
      </c>
      <c r="CY227" s="131"/>
      <c r="CZ227" s="131"/>
      <c r="DA227" s="131"/>
      <c r="DB227" s="131"/>
      <c r="DC227" s="131"/>
      <c r="DD227" s="131"/>
      <c r="DE227" s="131"/>
      <c r="DF227" s="130">
        <f>IS227*CK227</f>
        <v>0</v>
      </c>
      <c r="DG227" s="131"/>
      <c r="DH227" s="131"/>
      <c r="DI227" s="131"/>
      <c r="DJ227" s="131"/>
      <c r="DK227" s="131"/>
      <c r="DL227" s="131"/>
      <c r="DM227" s="131"/>
      <c r="DN227" s="130">
        <f>IR227*CK227+IS227*CK227</f>
        <v>0</v>
      </c>
      <c r="DO227" s="131"/>
      <c r="DP227" s="131"/>
      <c r="DQ227" s="131"/>
      <c r="DR227" s="131"/>
      <c r="DS227" s="131"/>
      <c r="DT227" s="131"/>
      <c r="DU227" s="131"/>
      <c r="DV227" s="130">
        <f>'Výkaz výměr'!L249</f>
        <v>0</v>
      </c>
      <c r="DW227" s="131"/>
      <c r="DX227" s="131"/>
      <c r="DY227" s="131"/>
      <c r="DZ227" s="131"/>
      <c r="EA227" s="131"/>
      <c r="EB227" s="131"/>
      <c r="EC227" s="131"/>
      <c r="ED227" s="130">
        <f>DV227*CK227</f>
        <v>0</v>
      </c>
      <c r="EE227" s="131"/>
      <c r="EF227" s="131"/>
      <c r="EG227" s="131"/>
      <c r="EH227" s="131"/>
      <c r="EI227" s="131"/>
      <c r="EJ227" s="131"/>
      <c r="EK227" s="131"/>
      <c r="EL227" s="132"/>
      <c r="EM227" s="133"/>
      <c r="EN227" s="133"/>
      <c r="EO227" s="133"/>
      <c r="EP227" s="133"/>
      <c r="EQ227" s="133"/>
      <c r="IR227" s="42">
        <f>CP227*1</f>
        <v>0</v>
      </c>
      <c r="IS227" s="42">
        <f>CP227*(1-1)</f>
        <v>0</v>
      </c>
    </row>
    <row r="228" spans="1:147" ht="12.7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</row>
    <row r="229" spans="1:147" ht="12.7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108" t="s">
        <v>548</v>
      </c>
      <c r="DG229" s="109"/>
      <c r="DH229" s="109"/>
      <c r="DI229" s="109"/>
      <c r="DJ229" s="109"/>
      <c r="DK229" s="109"/>
      <c r="DL229" s="109"/>
      <c r="DM229" s="109"/>
      <c r="DN229" s="128">
        <f>ROUND(DN12+DN17+DN20+DN49+DN91+DN107+DN109+DN112+DN115+DN118+DN147+DN180+DN189+DN198+DN201+DN203+DN206+DN215+DN220+DN222,0)</f>
        <v>0</v>
      </c>
      <c r="DO229" s="129"/>
      <c r="DP229" s="129"/>
      <c r="DQ229" s="129"/>
      <c r="DR229" s="129"/>
      <c r="DS229" s="129"/>
      <c r="DT229" s="129"/>
      <c r="DU229" s="129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</row>
  </sheetData>
  <sheetProtection/>
  <mergeCells count="3039">
    <mergeCell ref="A1:EQ1"/>
    <mergeCell ref="A2:E3"/>
    <mergeCell ref="F2:AI3"/>
    <mergeCell ref="AJ2:AP3"/>
    <mergeCell ref="AQ2:AV3"/>
    <mergeCell ref="AW2:BC3"/>
    <mergeCell ref="BD2:EQ3"/>
    <mergeCell ref="A4:E5"/>
    <mergeCell ref="F4:AI5"/>
    <mergeCell ref="AJ4:AP5"/>
    <mergeCell ref="AQ4:AV5"/>
    <mergeCell ref="AW4:BC5"/>
    <mergeCell ref="BD4:EQ5"/>
    <mergeCell ref="A6:E7"/>
    <mergeCell ref="F6:AI7"/>
    <mergeCell ref="AJ6:AP7"/>
    <mergeCell ref="AQ6:AV7"/>
    <mergeCell ref="AW6:BC7"/>
    <mergeCell ref="BD6:EQ7"/>
    <mergeCell ref="A8:E9"/>
    <mergeCell ref="F8:AI9"/>
    <mergeCell ref="AJ8:AP9"/>
    <mergeCell ref="AQ8:AV9"/>
    <mergeCell ref="AW8:BC9"/>
    <mergeCell ref="BD8:EQ9"/>
    <mergeCell ref="A10:B10"/>
    <mergeCell ref="C10:E10"/>
    <mergeCell ref="F10:K10"/>
    <mergeCell ref="L10:AR10"/>
    <mergeCell ref="AS10:AT10"/>
    <mergeCell ref="AU10:CJ10"/>
    <mergeCell ref="CK10:CO10"/>
    <mergeCell ref="CP10:CW10"/>
    <mergeCell ref="CX10:DE10"/>
    <mergeCell ref="DF10:DM10"/>
    <mergeCell ref="DN10:DU10"/>
    <mergeCell ref="DV10:EC10"/>
    <mergeCell ref="ED10:EK10"/>
    <mergeCell ref="EL10:EQ10"/>
    <mergeCell ref="A11:B11"/>
    <mergeCell ref="C11:E11"/>
    <mergeCell ref="F11:K11"/>
    <mergeCell ref="L11:AR11"/>
    <mergeCell ref="AS11:AT11"/>
    <mergeCell ref="AU11:CJ11"/>
    <mergeCell ref="CK11:CO11"/>
    <mergeCell ref="CP11:CW11"/>
    <mergeCell ref="CX11:DE11"/>
    <mergeCell ref="DF11:DM11"/>
    <mergeCell ref="DN11:DU11"/>
    <mergeCell ref="DV11:EC11"/>
    <mergeCell ref="ED11:EK11"/>
    <mergeCell ref="EL11:EQ11"/>
    <mergeCell ref="A12:B12"/>
    <mergeCell ref="C12:E12"/>
    <mergeCell ref="F12:K12"/>
    <mergeCell ref="L12:AR12"/>
    <mergeCell ref="AS12:AT12"/>
    <mergeCell ref="AU12:CJ12"/>
    <mergeCell ref="CK12:CO12"/>
    <mergeCell ref="CP12:CW12"/>
    <mergeCell ref="CX12:DE12"/>
    <mergeCell ref="DF12:DM12"/>
    <mergeCell ref="DN12:DU12"/>
    <mergeCell ref="DV12:EC12"/>
    <mergeCell ref="ED12:EK12"/>
    <mergeCell ref="EL12:EQ12"/>
    <mergeCell ref="A13:B13"/>
    <mergeCell ref="C13:E13"/>
    <mergeCell ref="F13:K13"/>
    <mergeCell ref="L13:AR13"/>
    <mergeCell ref="AS13:AT13"/>
    <mergeCell ref="AU13:CJ13"/>
    <mergeCell ref="CK13:CO13"/>
    <mergeCell ref="CP13:CW13"/>
    <mergeCell ref="CX13:DE13"/>
    <mergeCell ref="DF13:DM13"/>
    <mergeCell ref="DN13:DU13"/>
    <mergeCell ref="DV13:EC13"/>
    <mergeCell ref="ED13:EK13"/>
    <mergeCell ref="EL13:EQ13"/>
    <mergeCell ref="A14:B14"/>
    <mergeCell ref="C14:E14"/>
    <mergeCell ref="F14:K14"/>
    <mergeCell ref="L14:AR14"/>
    <mergeCell ref="AS14:AT14"/>
    <mergeCell ref="AU14:CJ14"/>
    <mergeCell ref="CK14:CO14"/>
    <mergeCell ref="CP14:CW14"/>
    <mergeCell ref="CX14:DE14"/>
    <mergeCell ref="DF14:DM14"/>
    <mergeCell ref="DN14:DU14"/>
    <mergeCell ref="DV14:EC14"/>
    <mergeCell ref="ED14:EK14"/>
    <mergeCell ref="EL14:EQ14"/>
    <mergeCell ref="A15:B15"/>
    <mergeCell ref="C15:E15"/>
    <mergeCell ref="F15:K15"/>
    <mergeCell ref="L15:AR15"/>
    <mergeCell ref="AS15:AT15"/>
    <mergeCell ref="AU15:CJ15"/>
    <mergeCell ref="CK15:CO15"/>
    <mergeCell ref="CP15:CW15"/>
    <mergeCell ref="CX15:DE15"/>
    <mergeCell ref="DF15:DM15"/>
    <mergeCell ref="DN15:DU15"/>
    <mergeCell ref="DV15:EC15"/>
    <mergeCell ref="ED15:EK15"/>
    <mergeCell ref="EL15:EQ15"/>
    <mergeCell ref="A16:B16"/>
    <mergeCell ref="C16:E16"/>
    <mergeCell ref="F16:K16"/>
    <mergeCell ref="L16:AR16"/>
    <mergeCell ref="AS16:AT16"/>
    <mergeCell ref="AU16:CJ16"/>
    <mergeCell ref="CK16:CO16"/>
    <mergeCell ref="CP16:CW16"/>
    <mergeCell ref="CX16:DE16"/>
    <mergeCell ref="DF16:DM16"/>
    <mergeCell ref="DN16:DU16"/>
    <mergeCell ref="DV16:EC16"/>
    <mergeCell ref="ED16:EK16"/>
    <mergeCell ref="EL16:EQ16"/>
    <mergeCell ref="A17:B17"/>
    <mergeCell ref="C17:E17"/>
    <mergeCell ref="F17:K17"/>
    <mergeCell ref="L17:AR17"/>
    <mergeCell ref="AS17:AT17"/>
    <mergeCell ref="AU17:CJ17"/>
    <mergeCell ref="CK17:CO17"/>
    <mergeCell ref="CP17:CW17"/>
    <mergeCell ref="CX17:DE17"/>
    <mergeCell ref="DF17:DM17"/>
    <mergeCell ref="DN17:DU17"/>
    <mergeCell ref="DV17:EC17"/>
    <mergeCell ref="ED17:EK17"/>
    <mergeCell ref="EL17:EQ17"/>
    <mergeCell ref="A18:B18"/>
    <mergeCell ref="C18:E18"/>
    <mergeCell ref="F18:K18"/>
    <mergeCell ref="L18:AR18"/>
    <mergeCell ref="AS18:AT18"/>
    <mergeCell ref="AU18:CJ18"/>
    <mergeCell ref="CK18:CO18"/>
    <mergeCell ref="CP18:CW18"/>
    <mergeCell ref="CX18:DE18"/>
    <mergeCell ref="DF18:DM18"/>
    <mergeCell ref="DN18:DU18"/>
    <mergeCell ref="DV18:EC18"/>
    <mergeCell ref="ED18:EK18"/>
    <mergeCell ref="EL18:EQ18"/>
    <mergeCell ref="A19:B19"/>
    <mergeCell ref="C19:E19"/>
    <mergeCell ref="F19:K19"/>
    <mergeCell ref="L19:AR19"/>
    <mergeCell ref="AS19:AT19"/>
    <mergeCell ref="AU19:CJ19"/>
    <mergeCell ref="CK19:CO19"/>
    <mergeCell ref="CP19:CW19"/>
    <mergeCell ref="CX19:DE19"/>
    <mergeCell ref="DF19:DM19"/>
    <mergeCell ref="DN19:DU19"/>
    <mergeCell ref="DV19:EC19"/>
    <mergeCell ref="ED19:EK19"/>
    <mergeCell ref="EL19:EQ19"/>
    <mergeCell ref="A20:B20"/>
    <mergeCell ref="C20:E20"/>
    <mergeCell ref="F20:K20"/>
    <mergeCell ref="L20:AR20"/>
    <mergeCell ref="AS20:AT20"/>
    <mergeCell ref="AU20:CJ20"/>
    <mergeCell ref="CK20:CO20"/>
    <mergeCell ref="CP20:CW20"/>
    <mergeCell ref="CX20:DE20"/>
    <mergeCell ref="DF20:DM20"/>
    <mergeCell ref="DN20:DU20"/>
    <mergeCell ref="DV20:EC20"/>
    <mergeCell ref="ED20:EK20"/>
    <mergeCell ref="EL20:EQ20"/>
    <mergeCell ref="A21:B21"/>
    <mergeCell ref="C21:E21"/>
    <mergeCell ref="F21:K21"/>
    <mergeCell ref="L21:AR21"/>
    <mergeCell ref="AS21:AT21"/>
    <mergeCell ref="AU21:CJ21"/>
    <mergeCell ref="CK21:CO21"/>
    <mergeCell ref="CP21:CW21"/>
    <mergeCell ref="CX21:DE21"/>
    <mergeCell ref="DF21:DM21"/>
    <mergeCell ref="DN21:DU21"/>
    <mergeCell ref="DV21:EC21"/>
    <mergeCell ref="ED21:EK21"/>
    <mergeCell ref="EL21:EQ21"/>
    <mergeCell ref="A22:B22"/>
    <mergeCell ref="C22:E22"/>
    <mergeCell ref="F22:K22"/>
    <mergeCell ref="L22:AR22"/>
    <mergeCell ref="AS22:AT22"/>
    <mergeCell ref="AU22:CJ22"/>
    <mergeCell ref="CK22:CO22"/>
    <mergeCell ref="CP22:CW22"/>
    <mergeCell ref="CX22:DE22"/>
    <mergeCell ref="DF22:DM22"/>
    <mergeCell ref="DN22:DU22"/>
    <mergeCell ref="DV22:EC22"/>
    <mergeCell ref="ED22:EK22"/>
    <mergeCell ref="EL22:EQ22"/>
    <mergeCell ref="A23:B23"/>
    <mergeCell ref="C23:E23"/>
    <mergeCell ref="F23:K23"/>
    <mergeCell ref="L23:AR23"/>
    <mergeCell ref="AS23:AT23"/>
    <mergeCell ref="AU23:CJ23"/>
    <mergeCell ref="CK23:CO23"/>
    <mergeCell ref="CP23:CW23"/>
    <mergeCell ref="CX23:DE23"/>
    <mergeCell ref="DF23:DM23"/>
    <mergeCell ref="DN23:DU23"/>
    <mergeCell ref="DV23:EC23"/>
    <mergeCell ref="ED23:EK23"/>
    <mergeCell ref="EL23:EQ23"/>
    <mergeCell ref="A24:B24"/>
    <mergeCell ref="C24:E24"/>
    <mergeCell ref="F24:K24"/>
    <mergeCell ref="L24:AR24"/>
    <mergeCell ref="AS24:AT24"/>
    <mergeCell ref="AU24:CJ24"/>
    <mergeCell ref="CK24:CO24"/>
    <mergeCell ref="CP24:CW24"/>
    <mergeCell ref="CX24:DE24"/>
    <mergeCell ref="DF24:DM24"/>
    <mergeCell ref="DN24:DU24"/>
    <mergeCell ref="DV24:EC24"/>
    <mergeCell ref="ED24:EK24"/>
    <mergeCell ref="EL24:EQ24"/>
    <mergeCell ref="A25:B25"/>
    <mergeCell ref="C25:E25"/>
    <mergeCell ref="F25:K25"/>
    <mergeCell ref="L25:AR25"/>
    <mergeCell ref="AS25:AT25"/>
    <mergeCell ref="AU25:CJ25"/>
    <mergeCell ref="CK25:CO25"/>
    <mergeCell ref="CP25:CW25"/>
    <mergeCell ref="CX25:DE25"/>
    <mergeCell ref="DF25:DM25"/>
    <mergeCell ref="DN25:DU25"/>
    <mergeCell ref="DV25:EC25"/>
    <mergeCell ref="ED25:EK25"/>
    <mergeCell ref="EL25:EQ25"/>
    <mergeCell ref="A26:B26"/>
    <mergeCell ref="C26:E26"/>
    <mergeCell ref="F26:K26"/>
    <mergeCell ref="L26:AR26"/>
    <mergeCell ref="AS26:AT26"/>
    <mergeCell ref="AU26:CJ26"/>
    <mergeCell ref="CK26:CO26"/>
    <mergeCell ref="CP26:CW26"/>
    <mergeCell ref="CX26:DE26"/>
    <mergeCell ref="DF26:DM26"/>
    <mergeCell ref="DN26:DU26"/>
    <mergeCell ref="DV26:EC26"/>
    <mergeCell ref="ED26:EK26"/>
    <mergeCell ref="EL26:EQ26"/>
    <mergeCell ref="A27:B27"/>
    <mergeCell ref="C27:E27"/>
    <mergeCell ref="F27:K27"/>
    <mergeCell ref="L27:AR27"/>
    <mergeCell ref="AS27:AT27"/>
    <mergeCell ref="AU27:CJ27"/>
    <mergeCell ref="CK27:CO27"/>
    <mergeCell ref="CP27:CW27"/>
    <mergeCell ref="CX27:DE27"/>
    <mergeCell ref="DF27:DM27"/>
    <mergeCell ref="DN27:DU27"/>
    <mergeCell ref="DV27:EC27"/>
    <mergeCell ref="ED27:EK27"/>
    <mergeCell ref="EL27:EQ27"/>
    <mergeCell ref="A28:B28"/>
    <mergeCell ref="C28:E28"/>
    <mergeCell ref="F28:K28"/>
    <mergeCell ref="L28:AR28"/>
    <mergeCell ref="AS28:AT28"/>
    <mergeCell ref="AU28:CJ28"/>
    <mergeCell ref="CK28:CO28"/>
    <mergeCell ref="CP28:CW28"/>
    <mergeCell ref="CX28:DE28"/>
    <mergeCell ref="DF28:DM28"/>
    <mergeCell ref="DN28:DU28"/>
    <mergeCell ref="DV28:EC28"/>
    <mergeCell ref="ED28:EK28"/>
    <mergeCell ref="EL28:EQ28"/>
    <mergeCell ref="A29:B29"/>
    <mergeCell ref="C29:E29"/>
    <mergeCell ref="F29:K29"/>
    <mergeCell ref="L29:AR29"/>
    <mergeCell ref="AS29:AT29"/>
    <mergeCell ref="AU29:CJ29"/>
    <mergeCell ref="CK29:CO29"/>
    <mergeCell ref="CP29:CW29"/>
    <mergeCell ref="CX29:DE29"/>
    <mergeCell ref="DF29:DM29"/>
    <mergeCell ref="DN29:DU29"/>
    <mergeCell ref="DV29:EC29"/>
    <mergeCell ref="ED29:EK29"/>
    <mergeCell ref="EL29:EQ29"/>
    <mergeCell ref="A30:B30"/>
    <mergeCell ref="C30:E30"/>
    <mergeCell ref="F30:K30"/>
    <mergeCell ref="L30:AR30"/>
    <mergeCell ref="AS30:AT30"/>
    <mergeCell ref="AU30:CJ30"/>
    <mergeCell ref="CK30:CO30"/>
    <mergeCell ref="CP30:CW30"/>
    <mergeCell ref="CX30:DE30"/>
    <mergeCell ref="DF30:DM30"/>
    <mergeCell ref="DN30:DU30"/>
    <mergeCell ref="DV30:EC30"/>
    <mergeCell ref="ED30:EK30"/>
    <mergeCell ref="EL30:EQ30"/>
    <mergeCell ref="A31:B31"/>
    <mergeCell ref="C31:E31"/>
    <mergeCell ref="F31:K31"/>
    <mergeCell ref="L31:AR31"/>
    <mergeCell ref="AS31:AT31"/>
    <mergeCell ref="AU31:CJ31"/>
    <mergeCell ref="CK31:CO31"/>
    <mergeCell ref="CP31:CW31"/>
    <mergeCell ref="CX31:DE31"/>
    <mergeCell ref="DF31:DM31"/>
    <mergeCell ref="DN31:DU31"/>
    <mergeCell ref="DV31:EC31"/>
    <mergeCell ref="ED31:EK31"/>
    <mergeCell ref="EL31:EQ31"/>
    <mergeCell ref="A32:B32"/>
    <mergeCell ref="C32:E32"/>
    <mergeCell ref="F32:K32"/>
    <mergeCell ref="L32:AR32"/>
    <mergeCell ref="AS32:AT32"/>
    <mergeCell ref="AU32:CJ32"/>
    <mergeCell ref="CK32:CO32"/>
    <mergeCell ref="CP32:CW32"/>
    <mergeCell ref="CX32:DE32"/>
    <mergeCell ref="DF32:DM32"/>
    <mergeCell ref="DN32:DU32"/>
    <mergeCell ref="DV32:EC32"/>
    <mergeCell ref="ED32:EK32"/>
    <mergeCell ref="EL32:EQ32"/>
    <mergeCell ref="A33:B33"/>
    <mergeCell ref="C33:E33"/>
    <mergeCell ref="F33:K33"/>
    <mergeCell ref="L33:AR33"/>
    <mergeCell ref="AS33:AT33"/>
    <mergeCell ref="AU33:CJ33"/>
    <mergeCell ref="CK33:CO33"/>
    <mergeCell ref="CP33:CW33"/>
    <mergeCell ref="CX33:DE33"/>
    <mergeCell ref="DF33:DM33"/>
    <mergeCell ref="DN33:DU33"/>
    <mergeCell ref="DV33:EC33"/>
    <mergeCell ref="ED33:EK33"/>
    <mergeCell ref="EL33:EQ33"/>
    <mergeCell ref="A34:B34"/>
    <mergeCell ref="C34:E34"/>
    <mergeCell ref="F34:K34"/>
    <mergeCell ref="L34:AR34"/>
    <mergeCell ref="AS34:AT34"/>
    <mergeCell ref="AU34:CJ34"/>
    <mergeCell ref="CK34:CO34"/>
    <mergeCell ref="CP34:CW34"/>
    <mergeCell ref="CX34:DE34"/>
    <mergeCell ref="DF34:DM34"/>
    <mergeCell ref="DN34:DU34"/>
    <mergeCell ref="DV34:EC34"/>
    <mergeCell ref="ED34:EK34"/>
    <mergeCell ref="EL34:EQ34"/>
    <mergeCell ref="A35:B35"/>
    <mergeCell ref="C35:E35"/>
    <mergeCell ref="F35:K35"/>
    <mergeCell ref="L35:AR35"/>
    <mergeCell ref="AS35:AT35"/>
    <mergeCell ref="AU35:CJ35"/>
    <mergeCell ref="CK35:CO35"/>
    <mergeCell ref="CP35:CW35"/>
    <mergeCell ref="CX35:DE35"/>
    <mergeCell ref="DF35:DM35"/>
    <mergeCell ref="DN35:DU35"/>
    <mergeCell ref="DV35:EC35"/>
    <mergeCell ref="ED35:EK35"/>
    <mergeCell ref="EL35:EQ35"/>
    <mergeCell ref="A36:B36"/>
    <mergeCell ref="C36:E36"/>
    <mergeCell ref="F36:K36"/>
    <mergeCell ref="L36:AR36"/>
    <mergeCell ref="AS36:AT36"/>
    <mergeCell ref="AU36:CJ36"/>
    <mergeCell ref="CK36:CO36"/>
    <mergeCell ref="CP36:CW36"/>
    <mergeCell ref="CX36:DE36"/>
    <mergeCell ref="DF36:DM36"/>
    <mergeCell ref="DN36:DU36"/>
    <mergeCell ref="DV36:EC36"/>
    <mergeCell ref="ED36:EK36"/>
    <mergeCell ref="EL36:EQ36"/>
    <mergeCell ref="A37:B37"/>
    <mergeCell ref="C37:E37"/>
    <mergeCell ref="F37:K37"/>
    <mergeCell ref="L37:AR37"/>
    <mergeCell ref="AS37:AT37"/>
    <mergeCell ref="AU37:CJ37"/>
    <mergeCell ref="CK37:CO37"/>
    <mergeCell ref="CP37:CW37"/>
    <mergeCell ref="CX37:DE37"/>
    <mergeCell ref="DF37:DM37"/>
    <mergeCell ref="DN37:DU37"/>
    <mergeCell ref="DV37:EC37"/>
    <mergeCell ref="ED37:EK37"/>
    <mergeCell ref="EL37:EQ37"/>
    <mergeCell ref="A38:B38"/>
    <mergeCell ref="C38:E38"/>
    <mergeCell ref="F38:K38"/>
    <mergeCell ref="L38:AR38"/>
    <mergeCell ref="AS38:AT38"/>
    <mergeCell ref="AU38:CJ38"/>
    <mergeCell ref="CK38:CO38"/>
    <mergeCell ref="CP38:CW38"/>
    <mergeCell ref="CX38:DE38"/>
    <mergeCell ref="DF38:DM38"/>
    <mergeCell ref="DN38:DU38"/>
    <mergeCell ref="DV38:EC38"/>
    <mergeCell ref="ED38:EK38"/>
    <mergeCell ref="EL38:EQ38"/>
    <mergeCell ref="A39:B39"/>
    <mergeCell ref="C39:E39"/>
    <mergeCell ref="F39:K39"/>
    <mergeCell ref="L39:AR39"/>
    <mergeCell ref="AS39:AT39"/>
    <mergeCell ref="AU39:CJ39"/>
    <mergeCell ref="CK39:CO39"/>
    <mergeCell ref="CP39:CW39"/>
    <mergeCell ref="CX39:DE39"/>
    <mergeCell ref="DF39:DM39"/>
    <mergeCell ref="DN39:DU39"/>
    <mergeCell ref="DV39:EC39"/>
    <mergeCell ref="ED39:EK39"/>
    <mergeCell ref="EL39:EQ39"/>
    <mergeCell ref="A40:B40"/>
    <mergeCell ref="C40:E40"/>
    <mergeCell ref="F40:K40"/>
    <mergeCell ref="L40:AR40"/>
    <mergeCell ref="AS40:AT40"/>
    <mergeCell ref="AU40:CJ40"/>
    <mergeCell ref="CK40:CO40"/>
    <mergeCell ref="CP40:CW40"/>
    <mergeCell ref="CX40:DE40"/>
    <mergeCell ref="DF40:DM40"/>
    <mergeCell ref="DN40:DU40"/>
    <mergeCell ref="DV40:EC40"/>
    <mergeCell ref="ED40:EK40"/>
    <mergeCell ref="EL40:EQ40"/>
    <mergeCell ref="A41:B41"/>
    <mergeCell ref="C41:E41"/>
    <mergeCell ref="F41:K41"/>
    <mergeCell ref="L41:AR41"/>
    <mergeCell ref="AS41:AT41"/>
    <mergeCell ref="AU41:CJ41"/>
    <mergeCell ref="CK41:CO41"/>
    <mergeCell ref="CP41:CW41"/>
    <mergeCell ref="CX41:DE41"/>
    <mergeCell ref="DF41:DM41"/>
    <mergeCell ref="DN41:DU41"/>
    <mergeCell ref="DV41:EC41"/>
    <mergeCell ref="ED41:EK41"/>
    <mergeCell ref="EL41:EQ41"/>
    <mergeCell ref="A42:B42"/>
    <mergeCell ref="C42:E42"/>
    <mergeCell ref="F42:K42"/>
    <mergeCell ref="L42:AR42"/>
    <mergeCell ref="AS42:AT42"/>
    <mergeCell ref="AU42:CJ42"/>
    <mergeCell ref="CK42:CO42"/>
    <mergeCell ref="CP42:CW42"/>
    <mergeCell ref="CX42:DE42"/>
    <mergeCell ref="DF42:DM42"/>
    <mergeCell ref="DN42:DU42"/>
    <mergeCell ref="DV42:EC42"/>
    <mergeCell ref="ED42:EK42"/>
    <mergeCell ref="EL42:EQ42"/>
    <mergeCell ref="A43:B43"/>
    <mergeCell ref="C43:E43"/>
    <mergeCell ref="F43:K43"/>
    <mergeCell ref="L43:AR43"/>
    <mergeCell ref="AS43:AT43"/>
    <mergeCell ref="AU43:CJ43"/>
    <mergeCell ref="CK43:CO43"/>
    <mergeCell ref="CP43:CW43"/>
    <mergeCell ref="CX43:DE43"/>
    <mergeCell ref="DF43:DM43"/>
    <mergeCell ref="DN43:DU43"/>
    <mergeCell ref="DV43:EC43"/>
    <mergeCell ref="ED43:EK43"/>
    <mergeCell ref="EL43:EQ43"/>
    <mergeCell ref="A44:B44"/>
    <mergeCell ref="C44:E44"/>
    <mergeCell ref="F44:K44"/>
    <mergeCell ref="L44:AR44"/>
    <mergeCell ref="AS44:AT44"/>
    <mergeCell ref="AU44:CJ44"/>
    <mergeCell ref="CK44:CO44"/>
    <mergeCell ref="CP44:CW44"/>
    <mergeCell ref="CX44:DE44"/>
    <mergeCell ref="DF44:DM44"/>
    <mergeCell ref="DN44:DU44"/>
    <mergeCell ref="DV44:EC44"/>
    <mergeCell ref="ED44:EK44"/>
    <mergeCell ref="EL44:EQ44"/>
    <mergeCell ref="A45:B45"/>
    <mergeCell ref="C45:E45"/>
    <mergeCell ref="F45:K45"/>
    <mergeCell ref="L45:AR45"/>
    <mergeCell ref="AS45:AT45"/>
    <mergeCell ref="AU45:CJ45"/>
    <mergeCell ref="CK45:CO45"/>
    <mergeCell ref="CP45:CW45"/>
    <mergeCell ref="CX45:DE45"/>
    <mergeCell ref="DF45:DM45"/>
    <mergeCell ref="DN45:DU45"/>
    <mergeCell ref="DV45:EC45"/>
    <mergeCell ref="ED45:EK45"/>
    <mergeCell ref="EL45:EQ45"/>
    <mergeCell ref="A46:B46"/>
    <mergeCell ref="C46:E46"/>
    <mergeCell ref="F46:K46"/>
    <mergeCell ref="L46:AR46"/>
    <mergeCell ref="AS46:AT46"/>
    <mergeCell ref="AU46:CJ46"/>
    <mergeCell ref="CK46:CO46"/>
    <mergeCell ref="CP46:CW46"/>
    <mergeCell ref="CX46:DE46"/>
    <mergeCell ref="DF46:DM46"/>
    <mergeCell ref="DN46:DU46"/>
    <mergeCell ref="DV46:EC46"/>
    <mergeCell ref="ED46:EK46"/>
    <mergeCell ref="EL46:EQ46"/>
    <mergeCell ref="A47:B47"/>
    <mergeCell ref="C47:E47"/>
    <mergeCell ref="F47:K47"/>
    <mergeCell ref="L47:AR47"/>
    <mergeCell ref="AS47:AT47"/>
    <mergeCell ref="AU47:CJ47"/>
    <mergeCell ref="CK47:CO47"/>
    <mergeCell ref="CP47:CW47"/>
    <mergeCell ref="CX47:DE47"/>
    <mergeCell ref="DF47:DM47"/>
    <mergeCell ref="DN47:DU47"/>
    <mergeCell ref="DV47:EC47"/>
    <mergeCell ref="ED47:EK47"/>
    <mergeCell ref="EL47:EQ47"/>
    <mergeCell ref="A48:B48"/>
    <mergeCell ref="C48:E48"/>
    <mergeCell ref="F48:K48"/>
    <mergeCell ref="L48:AR48"/>
    <mergeCell ref="AS48:AT48"/>
    <mergeCell ref="AU48:CJ48"/>
    <mergeCell ref="CK48:CO48"/>
    <mergeCell ref="CP48:CW48"/>
    <mergeCell ref="CX48:DE48"/>
    <mergeCell ref="DF48:DM48"/>
    <mergeCell ref="DN48:DU48"/>
    <mergeCell ref="DV48:EC48"/>
    <mergeCell ref="ED48:EK48"/>
    <mergeCell ref="EL48:EQ48"/>
    <mergeCell ref="A49:B49"/>
    <mergeCell ref="C49:E49"/>
    <mergeCell ref="F49:K49"/>
    <mergeCell ref="L49:AR49"/>
    <mergeCell ref="AS49:AT49"/>
    <mergeCell ref="AU49:CJ49"/>
    <mergeCell ref="CK49:CO49"/>
    <mergeCell ref="CP49:CW49"/>
    <mergeCell ref="CX49:DE49"/>
    <mergeCell ref="DF49:DM49"/>
    <mergeCell ref="DN49:DU49"/>
    <mergeCell ref="DV49:EC49"/>
    <mergeCell ref="ED49:EK49"/>
    <mergeCell ref="EL49:EQ49"/>
    <mergeCell ref="A50:B50"/>
    <mergeCell ref="C50:E50"/>
    <mergeCell ref="F50:K50"/>
    <mergeCell ref="L50:AR50"/>
    <mergeCell ref="AS50:AT50"/>
    <mergeCell ref="AU50:CJ50"/>
    <mergeCell ref="CK50:CO50"/>
    <mergeCell ref="CP50:CW50"/>
    <mergeCell ref="CX50:DE50"/>
    <mergeCell ref="DF50:DM50"/>
    <mergeCell ref="DN50:DU50"/>
    <mergeCell ref="DV50:EC50"/>
    <mergeCell ref="ED50:EK50"/>
    <mergeCell ref="EL50:EQ50"/>
    <mergeCell ref="A51:B51"/>
    <mergeCell ref="C51:E51"/>
    <mergeCell ref="F51:K51"/>
    <mergeCell ref="L51:AR51"/>
    <mergeCell ref="AS51:AT51"/>
    <mergeCell ref="AU51:CJ51"/>
    <mergeCell ref="CK51:CO51"/>
    <mergeCell ref="CP51:CW51"/>
    <mergeCell ref="CX51:DE51"/>
    <mergeCell ref="DF51:DM51"/>
    <mergeCell ref="DN51:DU51"/>
    <mergeCell ref="DV51:EC51"/>
    <mergeCell ref="ED51:EK51"/>
    <mergeCell ref="EL51:EQ51"/>
    <mergeCell ref="A52:AT52"/>
    <mergeCell ref="AU52:CJ52"/>
    <mergeCell ref="CK52:CO52"/>
    <mergeCell ref="CP52:EQ52"/>
    <mergeCell ref="A53:B53"/>
    <mergeCell ref="C53:E53"/>
    <mergeCell ref="F53:K53"/>
    <mergeCell ref="L53:AR53"/>
    <mergeCell ref="AS53:AT53"/>
    <mergeCell ref="AU53:CJ53"/>
    <mergeCell ref="CK53:CO53"/>
    <mergeCell ref="CP53:CW53"/>
    <mergeCell ref="CX53:DE53"/>
    <mergeCell ref="DF53:DM53"/>
    <mergeCell ref="DN53:DU53"/>
    <mergeCell ref="DV53:EC53"/>
    <mergeCell ref="ED53:EK53"/>
    <mergeCell ref="EL53:EQ53"/>
    <mergeCell ref="A54:B54"/>
    <mergeCell ref="C54:E54"/>
    <mergeCell ref="F54:K54"/>
    <mergeCell ref="L54:AR54"/>
    <mergeCell ref="AS54:AT54"/>
    <mergeCell ref="AU54:CJ54"/>
    <mergeCell ref="CK54:CO54"/>
    <mergeCell ref="CP54:CW54"/>
    <mergeCell ref="CX54:DE54"/>
    <mergeCell ref="DF54:DM54"/>
    <mergeCell ref="DN54:DU54"/>
    <mergeCell ref="DV54:EC54"/>
    <mergeCell ref="ED54:EK54"/>
    <mergeCell ref="EL54:EQ54"/>
    <mergeCell ref="DN55:DU55"/>
    <mergeCell ref="DV55:EC55"/>
    <mergeCell ref="A55:B55"/>
    <mergeCell ref="C55:E55"/>
    <mergeCell ref="F55:K55"/>
    <mergeCell ref="L55:AR55"/>
    <mergeCell ref="AS55:AT55"/>
    <mergeCell ref="AU55:CJ55"/>
    <mergeCell ref="ED55:EK55"/>
    <mergeCell ref="EL55:EQ55"/>
    <mergeCell ref="A56:AT56"/>
    <mergeCell ref="AU56:CJ56"/>
    <mergeCell ref="CK56:CO56"/>
    <mergeCell ref="CP56:EQ56"/>
    <mergeCell ref="CK55:CO55"/>
    <mergeCell ref="CP55:CW55"/>
    <mergeCell ref="CX55:DE55"/>
    <mergeCell ref="DF55:DM55"/>
    <mergeCell ref="DN57:DU57"/>
    <mergeCell ref="DV57:EC57"/>
    <mergeCell ref="A57:B57"/>
    <mergeCell ref="C57:E57"/>
    <mergeCell ref="F57:K57"/>
    <mergeCell ref="L57:AR57"/>
    <mergeCell ref="AS57:AT57"/>
    <mergeCell ref="AU57:CJ57"/>
    <mergeCell ref="ED57:EK57"/>
    <mergeCell ref="EL57:EQ57"/>
    <mergeCell ref="A58:AT58"/>
    <mergeCell ref="AU58:CJ58"/>
    <mergeCell ref="CK58:CO58"/>
    <mergeCell ref="CP58:EQ58"/>
    <mergeCell ref="CK57:CO57"/>
    <mergeCell ref="CP57:CW57"/>
    <mergeCell ref="CX57:DE57"/>
    <mergeCell ref="DF57:DM57"/>
    <mergeCell ref="A59:B59"/>
    <mergeCell ref="C59:E59"/>
    <mergeCell ref="F59:K59"/>
    <mergeCell ref="L59:AR59"/>
    <mergeCell ref="AS59:AT59"/>
    <mergeCell ref="AU59:CJ59"/>
    <mergeCell ref="CK59:CO59"/>
    <mergeCell ref="CP59:CW59"/>
    <mergeCell ref="CX59:DE59"/>
    <mergeCell ref="DF59:DM59"/>
    <mergeCell ref="DN59:DU59"/>
    <mergeCell ref="DV59:EC59"/>
    <mergeCell ref="ED59:EK59"/>
    <mergeCell ref="EL59:EQ59"/>
    <mergeCell ref="A60:B60"/>
    <mergeCell ref="C60:E60"/>
    <mergeCell ref="F60:K60"/>
    <mergeCell ref="L60:AR60"/>
    <mergeCell ref="AS60:AT60"/>
    <mergeCell ref="AU60:CJ60"/>
    <mergeCell ref="CK60:CO60"/>
    <mergeCell ref="CP60:CW60"/>
    <mergeCell ref="CX60:DE60"/>
    <mergeCell ref="DF60:DM60"/>
    <mergeCell ref="DN60:DU60"/>
    <mergeCell ref="DV60:EC60"/>
    <mergeCell ref="ED60:EK60"/>
    <mergeCell ref="EL60:EQ60"/>
    <mergeCell ref="A61:B61"/>
    <mergeCell ref="C61:E61"/>
    <mergeCell ref="F61:K61"/>
    <mergeCell ref="L61:AR61"/>
    <mergeCell ref="AS61:AT61"/>
    <mergeCell ref="AU61:CJ61"/>
    <mergeCell ref="CK61:CO61"/>
    <mergeCell ref="CP61:CW61"/>
    <mergeCell ref="CX61:DE61"/>
    <mergeCell ref="DF61:DM61"/>
    <mergeCell ref="DN61:DU61"/>
    <mergeCell ref="DV61:EC61"/>
    <mergeCell ref="ED61:EK61"/>
    <mergeCell ref="EL61:EQ61"/>
    <mergeCell ref="A62:B62"/>
    <mergeCell ref="C62:E62"/>
    <mergeCell ref="F62:K62"/>
    <mergeCell ref="L62:AR62"/>
    <mergeCell ref="AS62:AT62"/>
    <mergeCell ref="AU62:CJ62"/>
    <mergeCell ref="CK62:CO62"/>
    <mergeCell ref="CP62:CW62"/>
    <mergeCell ref="CX62:DE62"/>
    <mergeCell ref="DF62:DM62"/>
    <mergeCell ref="DN62:DU62"/>
    <mergeCell ref="DV62:EC62"/>
    <mergeCell ref="ED62:EK62"/>
    <mergeCell ref="EL62:EQ62"/>
    <mergeCell ref="A63:B63"/>
    <mergeCell ref="C63:E63"/>
    <mergeCell ref="F63:K63"/>
    <mergeCell ref="L63:AR63"/>
    <mergeCell ref="AS63:AT63"/>
    <mergeCell ref="AU63:CJ63"/>
    <mergeCell ref="CK63:CO63"/>
    <mergeCell ref="CP63:CW63"/>
    <mergeCell ref="CX63:DE63"/>
    <mergeCell ref="DF63:DM63"/>
    <mergeCell ref="DN63:DU63"/>
    <mergeCell ref="DV63:EC63"/>
    <mergeCell ref="ED63:EK63"/>
    <mergeCell ref="EL63:EQ63"/>
    <mergeCell ref="A64:B64"/>
    <mergeCell ref="C64:E64"/>
    <mergeCell ref="F64:K64"/>
    <mergeCell ref="L64:AR64"/>
    <mergeCell ref="AS64:AT64"/>
    <mergeCell ref="AU64:CJ64"/>
    <mergeCell ref="CK64:CO64"/>
    <mergeCell ref="CP64:CW64"/>
    <mergeCell ref="CX64:DE64"/>
    <mergeCell ref="DF64:DM64"/>
    <mergeCell ref="DN64:DU64"/>
    <mergeCell ref="DV64:EC64"/>
    <mergeCell ref="ED64:EK64"/>
    <mergeCell ref="EL64:EQ64"/>
    <mergeCell ref="A65:B65"/>
    <mergeCell ref="C65:E65"/>
    <mergeCell ref="F65:K65"/>
    <mergeCell ref="L65:AR65"/>
    <mergeCell ref="AS65:AT65"/>
    <mergeCell ref="AU65:CJ65"/>
    <mergeCell ref="CK65:CO65"/>
    <mergeCell ref="CP65:CW65"/>
    <mergeCell ref="CX65:DE65"/>
    <mergeCell ref="DF65:DM65"/>
    <mergeCell ref="DN65:DU65"/>
    <mergeCell ref="DV65:EC65"/>
    <mergeCell ref="ED65:EK65"/>
    <mergeCell ref="EL65:EQ65"/>
    <mergeCell ref="A66:B66"/>
    <mergeCell ref="C66:E66"/>
    <mergeCell ref="F66:K66"/>
    <mergeCell ref="L66:AR66"/>
    <mergeCell ref="AS66:AT66"/>
    <mergeCell ref="AU66:CJ66"/>
    <mergeCell ref="CK66:CO66"/>
    <mergeCell ref="CP66:CW66"/>
    <mergeCell ref="CX66:DE66"/>
    <mergeCell ref="DF66:DM66"/>
    <mergeCell ref="DN66:DU66"/>
    <mergeCell ref="DV66:EC66"/>
    <mergeCell ref="ED66:EK66"/>
    <mergeCell ref="EL66:EQ66"/>
    <mergeCell ref="A67:B67"/>
    <mergeCell ref="C67:E67"/>
    <mergeCell ref="F67:K67"/>
    <mergeCell ref="L67:AR67"/>
    <mergeCell ref="AS67:AT67"/>
    <mergeCell ref="AU67:CJ67"/>
    <mergeCell ref="CK67:CO67"/>
    <mergeCell ref="CP67:CW67"/>
    <mergeCell ref="CX67:DE67"/>
    <mergeCell ref="DF67:DM67"/>
    <mergeCell ref="DN67:DU67"/>
    <mergeCell ref="DV67:EC67"/>
    <mergeCell ref="ED67:EK67"/>
    <mergeCell ref="EL67:EQ67"/>
    <mergeCell ref="A68:B68"/>
    <mergeCell ref="C68:E68"/>
    <mergeCell ref="F68:K68"/>
    <mergeCell ref="L68:AR68"/>
    <mergeCell ref="AS68:AT68"/>
    <mergeCell ref="AU68:CJ68"/>
    <mergeCell ref="CK68:CO68"/>
    <mergeCell ref="CP68:CW68"/>
    <mergeCell ref="CX68:DE68"/>
    <mergeCell ref="DF68:DM68"/>
    <mergeCell ref="DN68:DU68"/>
    <mergeCell ref="DV68:EC68"/>
    <mergeCell ref="ED68:EK68"/>
    <mergeCell ref="EL68:EQ68"/>
    <mergeCell ref="A69:B69"/>
    <mergeCell ref="C69:E69"/>
    <mergeCell ref="F69:K69"/>
    <mergeCell ref="L69:AR69"/>
    <mergeCell ref="AS69:AT69"/>
    <mergeCell ref="AU69:CJ69"/>
    <mergeCell ref="CK69:CO69"/>
    <mergeCell ref="CP69:CW69"/>
    <mergeCell ref="CX69:DE69"/>
    <mergeCell ref="DF69:DM69"/>
    <mergeCell ref="DN69:DU69"/>
    <mergeCell ref="DV69:EC69"/>
    <mergeCell ref="ED69:EK69"/>
    <mergeCell ref="EL69:EQ69"/>
    <mergeCell ref="A70:B70"/>
    <mergeCell ref="C70:E70"/>
    <mergeCell ref="F70:K70"/>
    <mergeCell ref="L70:AR70"/>
    <mergeCell ref="AS70:AT70"/>
    <mergeCell ref="AU70:CJ70"/>
    <mergeCell ref="CK70:CO70"/>
    <mergeCell ref="CP70:CW70"/>
    <mergeCell ref="CX70:DE70"/>
    <mergeCell ref="DF70:DM70"/>
    <mergeCell ref="DN70:DU70"/>
    <mergeCell ref="DV70:EC70"/>
    <mergeCell ref="ED70:EK70"/>
    <mergeCell ref="EL70:EQ70"/>
    <mergeCell ref="A71:B71"/>
    <mergeCell ref="C71:E71"/>
    <mergeCell ref="F71:K71"/>
    <mergeCell ref="L71:AR71"/>
    <mergeCell ref="AS71:AT71"/>
    <mergeCell ref="AU71:CJ71"/>
    <mergeCell ref="CK71:CO71"/>
    <mergeCell ref="CP71:CW71"/>
    <mergeCell ref="CX71:DE71"/>
    <mergeCell ref="DF71:DM71"/>
    <mergeCell ref="DN71:DU71"/>
    <mergeCell ref="DV71:EC71"/>
    <mergeCell ref="ED71:EK71"/>
    <mergeCell ref="EL71:EQ71"/>
    <mergeCell ref="A72:B72"/>
    <mergeCell ref="C72:E72"/>
    <mergeCell ref="F72:K72"/>
    <mergeCell ref="L72:AR72"/>
    <mergeCell ref="AS72:AT72"/>
    <mergeCell ref="AU72:CJ72"/>
    <mergeCell ref="CK72:CO72"/>
    <mergeCell ref="CP72:CW72"/>
    <mergeCell ref="CX72:DE72"/>
    <mergeCell ref="DF72:DM72"/>
    <mergeCell ref="DN72:DU72"/>
    <mergeCell ref="DV72:EC72"/>
    <mergeCell ref="ED72:EK72"/>
    <mergeCell ref="EL72:EQ72"/>
    <mergeCell ref="A73:B73"/>
    <mergeCell ref="C73:E73"/>
    <mergeCell ref="F73:K73"/>
    <mergeCell ref="L73:AR73"/>
    <mergeCell ref="AS73:AT73"/>
    <mergeCell ref="AU73:CJ73"/>
    <mergeCell ref="CK73:CO73"/>
    <mergeCell ref="CP73:CW73"/>
    <mergeCell ref="CX73:DE73"/>
    <mergeCell ref="DF73:DM73"/>
    <mergeCell ref="DN73:DU73"/>
    <mergeCell ref="DV73:EC73"/>
    <mergeCell ref="ED73:EK73"/>
    <mergeCell ref="EL73:EQ73"/>
    <mergeCell ref="A74:B74"/>
    <mergeCell ref="C74:E74"/>
    <mergeCell ref="F74:K74"/>
    <mergeCell ref="L74:AR74"/>
    <mergeCell ref="AS74:AT74"/>
    <mergeCell ref="AU74:CJ74"/>
    <mergeCell ref="CK74:CO74"/>
    <mergeCell ref="CP74:CW74"/>
    <mergeCell ref="CX74:DE74"/>
    <mergeCell ref="DF74:DM74"/>
    <mergeCell ref="DN74:DU74"/>
    <mergeCell ref="DV74:EC74"/>
    <mergeCell ref="ED74:EK74"/>
    <mergeCell ref="EL74:EQ74"/>
    <mergeCell ref="A75:B75"/>
    <mergeCell ref="C75:E75"/>
    <mergeCell ref="F75:K75"/>
    <mergeCell ref="L75:AR75"/>
    <mergeCell ref="AS75:AT75"/>
    <mergeCell ref="AU75:CJ75"/>
    <mergeCell ref="CK75:CO75"/>
    <mergeCell ref="CP75:CW75"/>
    <mergeCell ref="CX75:DE75"/>
    <mergeCell ref="DF75:DM75"/>
    <mergeCell ref="DN75:DU75"/>
    <mergeCell ref="DV75:EC75"/>
    <mergeCell ref="ED75:EK75"/>
    <mergeCell ref="EL75:EQ75"/>
    <mergeCell ref="A76:B76"/>
    <mergeCell ref="C76:E76"/>
    <mergeCell ref="F76:K76"/>
    <mergeCell ref="L76:AR76"/>
    <mergeCell ref="AS76:AT76"/>
    <mergeCell ref="AU76:CJ76"/>
    <mergeCell ref="CK76:CO76"/>
    <mergeCell ref="CP76:CW76"/>
    <mergeCell ref="CX76:DE76"/>
    <mergeCell ref="DF76:DM76"/>
    <mergeCell ref="DN76:DU76"/>
    <mergeCell ref="DV76:EC76"/>
    <mergeCell ref="ED76:EK76"/>
    <mergeCell ref="EL76:EQ76"/>
    <mergeCell ref="A77:B77"/>
    <mergeCell ref="C77:E77"/>
    <mergeCell ref="F77:K77"/>
    <mergeCell ref="L77:AR77"/>
    <mergeCell ref="AS77:AT77"/>
    <mergeCell ref="AU77:CJ77"/>
    <mergeCell ref="CK77:CO77"/>
    <mergeCell ref="CP77:CW77"/>
    <mergeCell ref="CX77:DE77"/>
    <mergeCell ref="DF77:DM77"/>
    <mergeCell ref="DN77:DU77"/>
    <mergeCell ref="DV77:EC77"/>
    <mergeCell ref="ED77:EK77"/>
    <mergeCell ref="EL77:EQ77"/>
    <mergeCell ref="A78:B78"/>
    <mergeCell ref="C78:E78"/>
    <mergeCell ref="F78:K78"/>
    <mergeCell ref="L78:AR78"/>
    <mergeCell ref="AS78:AT78"/>
    <mergeCell ref="AU78:CJ78"/>
    <mergeCell ref="CK78:CO78"/>
    <mergeCell ref="CP78:CW78"/>
    <mergeCell ref="CX78:DE78"/>
    <mergeCell ref="DF78:DM78"/>
    <mergeCell ref="DN78:DU78"/>
    <mergeCell ref="DV78:EC78"/>
    <mergeCell ref="ED78:EK78"/>
    <mergeCell ref="EL78:EQ78"/>
    <mergeCell ref="A79:B79"/>
    <mergeCell ref="C79:E79"/>
    <mergeCell ref="F79:K79"/>
    <mergeCell ref="L79:AR79"/>
    <mergeCell ref="AS79:AT79"/>
    <mergeCell ref="AU79:CJ79"/>
    <mergeCell ref="CK79:CO79"/>
    <mergeCell ref="CP79:CW79"/>
    <mergeCell ref="CX79:DE79"/>
    <mergeCell ref="DF79:DM79"/>
    <mergeCell ref="DN79:DU79"/>
    <mergeCell ref="DV79:EC79"/>
    <mergeCell ref="ED79:EK79"/>
    <mergeCell ref="EL79:EQ79"/>
    <mergeCell ref="A80:B80"/>
    <mergeCell ref="C80:E80"/>
    <mergeCell ref="F80:K80"/>
    <mergeCell ref="L80:AR80"/>
    <mergeCell ref="AS80:AT80"/>
    <mergeCell ref="AU80:CJ80"/>
    <mergeCell ref="CK80:CO80"/>
    <mergeCell ref="CP80:CW80"/>
    <mergeCell ref="CX80:DE80"/>
    <mergeCell ref="DF80:DM80"/>
    <mergeCell ref="DN80:DU80"/>
    <mergeCell ref="DV80:EC80"/>
    <mergeCell ref="ED80:EK80"/>
    <mergeCell ref="EL80:EQ80"/>
    <mergeCell ref="A81:B81"/>
    <mergeCell ref="C81:E81"/>
    <mergeCell ref="F81:K81"/>
    <mergeCell ref="L81:AR81"/>
    <mergeCell ref="AS81:AT81"/>
    <mergeCell ref="AU81:CJ81"/>
    <mergeCell ref="CK81:CO81"/>
    <mergeCell ref="CP81:CW81"/>
    <mergeCell ref="CX81:DE81"/>
    <mergeCell ref="DF81:DM81"/>
    <mergeCell ref="DN81:DU81"/>
    <mergeCell ref="DV81:EC81"/>
    <mergeCell ref="ED81:EK81"/>
    <mergeCell ref="EL81:EQ81"/>
    <mergeCell ref="A82:B82"/>
    <mergeCell ref="C82:E82"/>
    <mergeCell ref="F82:K82"/>
    <mergeCell ref="L82:AR82"/>
    <mergeCell ref="AS82:AT82"/>
    <mergeCell ref="AU82:CJ82"/>
    <mergeCell ref="CK82:CO82"/>
    <mergeCell ref="CP82:CW82"/>
    <mergeCell ref="CX82:DE82"/>
    <mergeCell ref="DF82:DM82"/>
    <mergeCell ref="DN82:DU82"/>
    <mergeCell ref="DV82:EC82"/>
    <mergeCell ref="ED82:EK82"/>
    <mergeCell ref="EL82:EQ82"/>
    <mergeCell ref="A83:B83"/>
    <mergeCell ref="C83:E83"/>
    <mergeCell ref="F83:K83"/>
    <mergeCell ref="L83:AR83"/>
    <mergeCell ref="AS83:AT83"/>
    <mergeCell ref="AU83:CJ83"/>
    <mergeCell ref="CK83:CO83"/>
    <mergeCell ref="CP83:CW83"/>
    <mergeCell ref="CX83:DE83"/>
    <mergeCell ref="DF83:DM83"/>
    <mergeCell ref="DN83:DU83"/>
    <mergeCell ref="DV83:EC83"/>
    <mergeCell ref="ED83:EK83"/>
    <mergeCell ref="EL83:EQ83"/>
    <mergeCell ref="A84:B84"/>
    <mergeCell ref="C84:E84"/>
    <mergeCell ref="F84:K84"/>
    <mergeCell ref="L84:AR84"/>
    <mergeCell ref="AS84:AT84"/>
    <mergeCell ref="AU84:CJ84"/>
    <mergeCell ref="CK84:CO84"/>
    <mergeCell ref="CP84:CW84"/>
    <mergeCell ref="CX84:DE84"/>
    <mergeCell ref="DF84:DM84"/>
    <mergeCell ref="DN84:DU84"/>
    <mergeCell ref="DV84:EC84"/>
    <mergeCell ref="ED84:EK84"/>
    <mergeCell ref="EL84:EQ84"/>
    <mergeCell ref="A85:B85"/>
    <mergeCell ref="C85:E85"/>
    <mergeCell ref="F85:K85"/>
    <mergeCell ref="L85:AR85"/>
    <mergeCell ref="AS85:AT85"/>
    <mergeCell ref="AU85:CJ85"/>
    <mergeCell ref="CK85:CO85"/>
    <mergeCell ref="CP85:CW85"/>
    <mergeCell ref="CX85:DE85"/>
    <mergeCell ref="DF85:DM85"/>
    <mergeCell ref="DN85:DU85"/>
    <mergeCell ref="DV85:EC85"/>
    <mergeCell ref="ED85:EK85"/>
    <mergeCell ref="EL85:EQ85"/>
    <mergeCell ref="A86:B86"/>
    <mergeCell ref="C86:E86"/>
    <mergeCell ref="F86:K86"/>
    <mergeCell ref="L86:AR86"/>
    <mergeCell ref="AS86:AT86"/>
    <mergeCell ref="AU86:CJ86"/>
    <mergeCell ref="CK86:CO86"/>
    <mergeCell ref="CP86:CW86"/>
    <mergeCell ref="CX86:DE86"/>
    <mergeCell ref="DF86:DM86"/>
    <mergeCell ref="DN86:DU86"/>
    <mergeCell ref="DV86:EC86"/>
    <mergeCell ref="ED86:EK86"/>
    <mergeCell ref="EL86:EQ86"/>
    <mergeCell ref="A87:B87"/>
    <mergeCell ref="C87:E87"/>
    <mergeCell ref="F87:K87"/>
    <mergeCell ref="L87:AR87"/>
    <mergeCell ref="AS87:AT87"/>
    <mergeCell ref="AU87:CJ87"/>
    <mergeCell ref="CK87:CO87"/>
    <mergeCell ref="CP87:CW87"/>
    <mergeCell ref="CX87:DE87"/>
    <mergeCell ref="DF87:DM87"/>
    <mergeCell ref="DN87:DU87"/>
    <mergeCell ref="DV87:EC87"/>
    <mergeCell ref="ED87:EK87"/>
    <mergeCell ref="EL87:EQ87"/>
    <mergeCell ref="A88:B88"/>
    <mergeCell ref="C88:E88"/>
    <mergeCell ref="F88:K88"/>
    <mergeCell ref="L88:AR88"/>
    <mergeCell ref="AS88:AT88"/>
    <mergeCell ref="AU88:CJ88"/>
    <mergeCell ref="CK88:CO88"/>
    <mergeCell ref="CP88:CW88"/>
    <mergeCell ref="CX88:DE88"/>
    <mergeCell ref="DF88:DM88"/>
    <mergeCell ref="DN88:DU88"/>
    <mergeCell ref="DV88:EC88"/>
    <mergeCell ref="ED88:EK88"/>
    <mergeCell ref="EL88:EQ88"/>
    <mergeCell ref="A89:B89"/>
    <mergeCell ref="C89:E89"/>
    <mergeCell ref="F89:K89"/>
    <mergeCell ref="L89:AR89"/>
    <mergeCell ref="AS89:AT89"/>
    <mergeCell ref="AU89:CJ89"/>
    <mergeCell ref="CK89:CO89"/>
    <mergeCell ref="CP89:CW89"/>
    <mergeCell ref="CX89:DE89"/>
    <mergeCell ref="DF89:DM89"/>
    <mergeCell ref="DN89:DU89"/>
    <mergeCell ref="DV89:EC89"/>
    <mergeCell ref="ED89:EK89"/>
    <mergeCell ref="EL89:EQ89"/>
    <mergeCell ref="A90:B90"/>
    <mergeCell ref="C90:E90"/>
    <mergeCell ref="F90:K90"/>
    <mergeCell ref="L90:AR90"/>
    <mergeCell ref="AS90:AT90"/>
    <mergeCell ref="AU90:CJ90"/>
    <mergeCell ref="CK90:CO90"/>
    <mergeCell ref="CP90:CW90"/>
    <mergeCell ref="CX90:DE90"/>
    <mergeCell ref="DF90:DM90"/>
    <mergeCell ref="DN90:DU90"/>
    <mergeCell ref="DV90:EC90"/>
    <mergeCell ref="ED90:EK90"/>
    <mergeCell ref="EL90:EQ90"/>
    <mergeCell ref="A91:B91"/>
    <mergeCell ref="C91:E91"/>
    <mergeCell ref="F91:K91"/>
    <mergeCell ref="L91:AR91"/>
    <mergeCell ref="AS91:AT91"/>
    <mergeCell ref="AU91:CJ91"/>
    <mergeCell ref="CK91:CO91"/>
    <mergeCell ref="CP91:CW91"/>
    <mergeCell ref="CX91:DE91"/>
    <mergeCell ref="DF91:DM91"/>
    <mergeCell ref="DN91:DU91"/>
    <mergeCell ref="DV91:EC91"/>
    <mergeCell ref="ED91:EK91"/>
    <mergeCell ref="EL91:EQ91"/>
    <mergeCell ref="A92:B92"/>
    <mergeCell ref="C92:E92"/>
    <mergeCell ref="F92:K92"/>
    <mergeCell ref="L92:AR92"/>
    <mergeCell ref="AS92:AT92"/>
    <mergeCell ref="AU92:CJ92"/>
    <mergeCell ref="CK92:CO92"/>
    <mergeCell ref="CP92:CW92"/>
    <mergeCell ref="CX92:DE92"/>
    <mergeCell ref="DF92:DM92"/>
    <mergeCell ref="DN92:DU92"/>
    <mergeCell ref="DV92:EC92"/>
    <mergeCell ref="ED92:EK92"/>
    <mergeCell ref="EL92:EQ92"/>
    <mergeCell ref="A93:B93"/>
    <mergeCell ref="C93:E93"/>
    <mergeCell ref="F93:K93"/>
    <mergeCell ref="L93:AR93"/>
    <mergeCell ref="AS93:AT93"/>
    <mergeCell ref="AU93:CJ93"/>
    <mergeCell ref="CK93:CO93"/>
    <mergeCell ref="CP93:CW93"/>
    <mergeCell ref="CX93:DE93"/>
    <mergeCell ref="DF93:DM93"/>
    <mergeCell ref="DN93:DU93"/>
    <mergeCell ref="DV93:EC93"/>
    <mergeCell ref="ED93:EK93"/>
    <mergeCell ref="EL93:EQ93"/>
    <mergeCell ref="A94:B94"/>
    <mergeCell ref="C94:E94"/>
    <mergeCell ref="F94:K94"/>
    <mergeCell ref="L94:AR94"/>
    <mergeCell ref="AS94:AT94"/>
    <mergeCell ref="AU94:CJ94"/>
    <mergeCell ref="CK94:CO94"/>
    <mergeCell ref="CP94:CW94"/>
    <mergeCell ref="CX94:DE94"/>
    <mergeCell ref="DF94:DM94"/>
    <mergeCell ref="DN94:DU94"/>
    <mergeCell ref="DV94:EC94"/>
    <mergeCell ref="ED94:EK94"/>
    <mergeCell ref="EL94:EQ94"/>
    <mergeCell ref="A95:B95"/>
    <mergeCell ref="C95:E95"/>
    <mergeCell ref="F95:K95"/>
    <mergeCell ref="L95:AR95"/>
    <mergeCell ref="AS95:AT95"/>
    <mergeCell ref="AU95:CJ95"/>
    <mergeCell ref="CK95:CO95"/>
    <mergeCell ref="CP95:CW95"/>
    <mergeCell ref="CX95:DE95"/>
    <mergeCell ref="DF95:DM95"/>
    <mergeCell ref="DN95:DU95"/>
    <mergeCell ref="DV95:EC95"/>
    <mergeCell ref="ED95:EK95"/>
    <mergeCell ref="EL95:EQ95"/>
    <mergeCell ref="A96:B96"/>
    <mergeCell ref="C96:E96"/>
    <mergeCell ref="F96:K96"/>
    <mergeCell ref="L96:AR96"/>
    <mergeCell ref="AS96:AT96"/>
    <mergeCell ref="AU96:CJ96"/>
    <mergeCell ref="CK96:CO96"/>
    <mergeCell ref="CP96:CW96"/>
    <mergeCell ref="CX96:DE96"/>
    <mergeCell ref="DF96:DM96"/>
    <mergeCell ref="DN96:DU96"/>
    <mergeCell ref="DV96:EC96"/>
    <mergeCell ref="ED96:EK96"/>
    <mergeCell ref="EL96:EQ96"/>
    <mergeCell ref="A97:B97"/>
    <mergeCell ref="C97:E97"/>
    <mergeCell ref="F97:K97"/>
    <mergeCell ref="L97:AR97"/>
    <mergeCell ref="AS97:AT97"/>
    <mergeCell ref="AU97:CJ97"/>
    <mergeCell ref="CK97:CO97"/>
    <mergeCell ref="CP97:CW97"/>
    <mergeCell ref="CX97:DE97"/>
    <mergeCell ref="DF97:DM97"/>
    <mergeCell ref="DN97:DU97"/>
    <mergeCell ref="DV97:EC97"/>
    <mergeCell ref="ED97:EK97"/>
    <mergeCell ref="EL97:EQ97"/>
    <mergeCell ref="A98:B98"/>
    <mergeCell ref="C98:E98"/>
    <mergeCell ref="F98:K98"/>
    <mergeCell ref="L98:AR98"/>
    <mergeCell ref="AS98:AT98"/>
    <mergeCell ref="AU98:CJ98"/>
    <mergeCell ref="CK98:CO98"/>
    <mergeCell ref="CP98:CW98"/>
    <mergeCell ref="CX98:DE98"/>
    <mergeCell ref="DF98:DM98"/>
    <mergeCell ref="DN98:DU98"/>
    <mergeCell ref="DV98:EC98"/>
    <mergeCell ref="ED98:EK98"/>
    <mergeCell ref="EL98:EQ98"/>
    <mergeCell ref="A99:B99"/>
    <mergeCell ref="C99:E99"/>
    <mergeCell ref="F99:K99"/>
    <mergeCell ref="L99:AR99"/>
    <mergeCell ref="AS99:AT99"/>
    <mergeCell ref="AU99:CJ99"/>
    <mergeCell ref="CK99:CO99"/>
    <mergeCell ref="CP99:CW99"/>
    <mergeCell ref="CX99:DE99"/>
    <mergeCell ref="DF99:DM99"/>
    <mergeCell ref="DN99:DU99"/>
    <mergeCell ref="DV99:EC99"/>
    <mergeCell ref="ED99:EK99"/>
    <mergeCell ref="EL99:EQ99"/>
    <mergeCell ref="A100:B100"/>
    <mergeCell ref="C100:E100"/>
    <mergeCell ref="F100:K100"/>
    <mergeCell ref="L100:AR100"/>
    <mergeCell ref="AS100:AT100"/>
    <mergeCell ref="AU100:CJ100"/>
    <mergeCell ref="CK100:CO100"/>
    <mergeCell ref="CP100:CW100"/>
    <mergeCell ref="CX100:DE100"/>
    <mergeCell ref="DF100:DM100"/>
    <mergeCell ref="DN100:DU100"/>
    <mergeCell ref="DV100:EC100"/>
    <mergeCell ref="ED100:EK100"/>
    <mergeCell ref="EL100:EQ100"/>
    <mergeCell ref="A101:B101"/>
    <mergeCell ref="C101:E101"/>
    <mergeCell ref="F101:K101"/>
    <mergeCell ref="L101:AR101"/>
    <mergeCell ref="AS101:AT101"/>
    <mergeCell ref="AU101:CJ101"/>
    <mergeCell ref="CK101:CO101"/>
    <mergeCell ref="CP101:CW101"/>
    <mergeCell ref="CX101:DE101"/>
    <mergeCell ref="DF101:DM101"/>
    <mergeCell ref="DN101:DU101"/>
    <mergeCell ref="DV101:EC101"/>
    <mergeCell ref="ED101:EK101"/>
    <mergeCell ref="EL101:EQ101"/>
    <mergeCell ref="A102:B102"/>
    <mergeCell ref="C102:E102"/>
    <mergeCell ref="F102:K102"/>
    <mergeCell ref="L102:AR102"/>
    <mergeCell ref="AS102:AT102"/>
    <mergeCell ref="AU102:CJ102"/>
    <mergeCell ref="CK102:CO102"/>
    <mergeCell ref="CP102:CW102"/>
    <mergeCell ref="CX102:DE102"/>
    <mergeCell ref="DF102:DM102"/>
    <mergeCell ref="DN102:DU102"/>
    <mergeCell ref="DV102:EC102"/>
    <mergeCell ref="ED102:EK102"/>
    <mergeCell ref="EL102:EQ102"/>
    <mergeCell ref="A103:B103"/>
    <mergeCell ref="C103:E103"/>
    <mergeCell ref="F103:K103"/>
    <mergeCell ref="L103:AR103"/>
    <mergeCell ref="AS103:AT103"/>
    <mergeCell ref="AU103:CJ103"/>
    <mergeCell ref="CK103:CO103"/>
    <mergeCell ref="CP103:CW103"/>
    <mergeCell ref="CX103:DE103"/>
    <mergeCell ref="DF103:DM103"/>
    <mergeCell ref="DN103:DU103"/>
    <mergeCell ref="DV103:EC103"/>
    <mergeCell ref="ED103:EK103"/>
    <mergeCell ref="EL103:EQ103"/>
    <mergeCell ref="A104:B104"/>
    <mergeCell ref="C104:E104"/>
    <mergeCell ref="F104:K104"/>
    <mergeCell ref="L104:AR104"/>
    <mergeCell ref="AS104:AT104"/>
    <mergeCell ref="AU104:CJ104"/>
    <mergeCell ref="CK104:CO104"/>
    <mergeCell ref="CP104:CW104"/>
    <mergeCell ref="CX104:DE104"/>
    <mergeCell ref="DF104:DM104"/>
    <mergeCell ref="DN104:DU104"/>
    <mergeCell ref="DV104:EC104"/>
    <mergeCell ref="ED104:EK104"/>
    <mergeCell ref="EL104:EQ104"/>
    <mergeCell ref="A105:B105"/>
    <mergeCell ref="C105:E105"/>
    <mergeCell ref="F105:K105"/>
    <mergeCell ref="L105:AR105"/>
    <mergeCell ref="AS105:AT105"/>
    <mergeCell ref="AU105:CJ105"/>
    <mergeCell ref="CK105:CO105"/>
    <mergeCell ref="CP105:CW105"/>
    <mergeCell ref="CX105:DE105"/>
    <mergeCell ref="DF105:DM105"/>
    <mergeCell ref="DN105:DU105"/>
    <mergeCell ref="DV105:EC105"/>
    <mergeCell ref="ED105:EK105"/>
    <mergeCell ref="EL105:EQ105"/>
    <mergeCell ref="A106:B106"/>
    <mergeCell ref="C106:E106"/>
    <mergeCell ref="F106:K106"/>
    <mergeCell ref="L106:AR106"/>
    <mergeCell ref="AS106:AT106"/>
    <mergeCell ref="AU106:CJ106"/>
    <mergeCell ref="CK106:CO106"/>
    <mergeCell ref="CP106:CW106"/>
    <mergeCell ref="CX106:DE106"/>
    <mergeCell ref="DF106:DM106"/>
    <mergeCell ref="DN106:DU106"/>
    <mergeCell ref="DV106:EC106"/>
    <mergeCell ref="ED106:EK106"/>
    <mergeCell ref="EL106:EQ106"/>
    <mergeCell ref="A107:B107"/>
    <mergeCell ref="C107:E107"/>
    <mergeCell ref="F107:K107"/>
    <mergeCell ref="L107:AR107"/>
    <mergeCell ref="AS107:AT107"/>
    <mergeCell ref="AU107:CJ107"/>
    <mergeCell ref="CK107:CO107"/>
    <mergeCell ref="CP107:CW107"/>
    <mergeCell ref="CX107:DE107"/>
    <mergeCell ref="DF107:DM107"/>
    <mergeCell ref="DN107:DU107"/>
    <mergeCell ref="DV107:EC107"/>
    <mergeCell ref="ED107:EK107"/>
    <mergeCell ref="EL107:EQ107"/>
    <mergeCell ref="A108:B108"/>
    <mergeCell ref="C108:E108"/>
    <mergeCell ref="F108:K108"/>
    <mergeCell ref="L108:AR108"/>
    <mergeCell ref="AS108:AT108"/>
    <mergeCell ref="AU108:CJ108"/>
    <mergeCell ref="CK108:CO108"/>
    <mergeCell ref="CP108:CW108"/>
    <mergeCell ref="CX108:DE108"/>
    <mergeCell ref="DF108:DM108"/>
    <mergeCell ref="DN108:DU108"/>
    <mergeCell ref="DV108:EC108"/>
    <mergeCell ref="ED108:EK108"/>
    <mergeCell ref="EL108:EQ108"/>
    <mergeCell ref="A109:B109"/>
    <mergeCell ref="C109:E109"/>
    <mergeCell ref="F109:K109"/>
    <mergeCell ref="L109:AR109"/>
    <mergeCell ref="AS109:AT109"/>
    <mergeCell ref="AU109:CJ109"/>
    <mergeCell ref="CK109:CO109"/>
    <mergeCell ref="CP109:CW109"/>
    <mergeCell ref="CX109:DE109"/>
    <mergeCell ref="DF109:DM109"/>
    <mergeCell ref="DN109:DU109"/>
    <mergeCell ref="DV109:EC109"/>
    <mergeCell ref="ED109:EK109"/>
    <mergeCell ref="EL109:EQ109"/>
    <mergeCell ref="A110:B110"/>
    <mergeCell ref="C110:E110"/>
    <mergeCell ref="F110:K110"/>
    <mergeCell ref="L110:AR110"/>
    <mergeCell ref="AS110:AT110"/>
    <mergeCell ref="AU110:CJ110"/>
    <mergeCell ref="CK110:CO110"/>
    <mergeCell ref="CP110:CW110"/>
    <mergeCell ref="CX110:DE110"/>
    <mergeCell ref="DF110:DM110"/>
    <mergeCell ref="DN110:DU110"/>
    <mergeCell ref="DV110:EC110"/>
    <mergeCell ref="ED110:EK110"/>
    <mergeCell ref="EL110:EQ110"/>
    <mergeCell ref="A111:B111"/>
    <mergeCell ref="C111:E111"/>
    <mergeCell ref="F111:K111"/>
    <mergeCell ref="L111:AR111"/>
    <mergeCell ref="AS111:AT111"/>
    <mergeCell ref="AU111:CJ111"/>
    <mergeCell ref="CK111:CO111"/>
    <mergeCell ref="CP111:CW111"/>
    <mergeCell ref="CX111:DE111"/>
    <mergeCell ref="DF111:DM111"/>
    <mergeCell ref="DN111:DU111"/>
    <mergeCell ref="DV111:EC111"/>
    <mergeCell ref="ED111:EK111"/>
    <mergeCell ref="EL111:EQ111"/>
    <mergeCell ref="A112:B112"/>
    <mergeCell ref="C112:E112"/>
    <mergeCell ref="F112:K112"/>
    <mergeCell ref="L112:AR112"/>
    <mergeCell ref="AS112:AT112"/>
    <mergeCell ref="AU112:CJ112"/>
    <mergeCell ref="CK112:CO112"/>
    <mergeCell ref="CP112:CW112"/>
    <mergeCell ref="CX112:DE112"/>
    <mergeCell ref="DF112:DM112"/>
    <mergeCell ref="DN112:DU112"/>
    <mergeCell ref="DV112:EC112"/>
    <mergeCell ref="ED112:EK112"/>
    <mergeCell ref="EL112:EQ112"/>
    <mergeCell ref="A113:B113"/>
    <mergeCell ref="C113:E113"/>
    <mergeCell ref="F113:K113"/>
    <mergeCell ref="L113:AR113"/>
    <mergeCell ref="AS113:AT113"/>
    <mergeCell ref="AU113:CJ113"/>
    <mergeCell ref="CK113:CO113"/>
    <mergeCell ref="CP113:CW113"/>
    <mergeCell ref="CX113:DE113"/>
    <mergeCell ref="DF113:DM113"/>
    <mergeCell ref="DN113:DU113"/>
    <mergeCell ref="DV113:EC113"/>
    <mergeCell ref="ED113:EK113"/>
    <mergeCell ref="EL113:EQ113"/>
    <mergeCell ref="A114:B114"/>
    <mergeCell ref="C114:E114"/>
    <mergeCell ref="F114:K114"/>
    <mergeCell ref="L114:AR114"/>
    <mergeCell ref="AS114:AT114"/>
    <mergeCell ref="AU114:CJ114"/>
    <mergeCell ref="CK114:CO114"/>
    <mergeCell ref="CP114:CW114"/>
    <mergeCell ref="CX114:DE114"/>
    <mergeCell ref="DF114:DM114"/>
    <mergeCell ref="DN114:DU114"/>
    <mergeCell ref="DV114:EC114"/>
    <mergeCell ref="ED114:EK114"/>
    <mergeCell ref="EL114:EQ114"/>
    <mergeCell ref="A115:B115"/>
    <mergeCell ref="C115:E115"/>
    <mergeCell ref="F115:K115"/>
    <mergeCell ref="L115:AR115"/>
    <mergeCell ref="AS115:AT115"/>
    <mergeCell ref="AU115:CJ115"/>
    <mergeCell ref="CK115:CO115"/>
    <mergeCell ref="CP115:CW115"/>
    <mergeCell ref="CX115:DE115"/>
    <mergeCell ref="DF115:DM115"/>
    <mergeCell ref="DN115:DU115"/>
    <mergeCell ref="DV115:EC115"/>
    <mergeCell ref="ED115:EK115"/>
    <mergeCell ref="EL115:EQ115"/>
    <mergeCell ref="A116:B116"/>
    <mergeCell ref="C116:E116"/>
    <mergeCell ref="F116:K116"/>
    <mergeCell ref="L116:AR116"/>
    <mergeCell ref="AS116:AT116"/>
    <mergeCell ref="AU116:CJ116"/>
    <mergeCell ref="CK116:CO116"/>
    <mergeCell ref="CP116:CW116"/>
    <mergeCell ref="CX116:DE116"/>
    <mergeCell ref="DF116:DM116"/>
    <mergeCell ref="DN116:DU116"/>
    <mergeCell ref="DV116:EC116"/>
    <mergeCell ref="ED116:EK116"/>
    <mergeCell ref="EL116:EQ116"/>
    <mergeCell ref="A117:B117"/>
    <mergeCell ref="C117:E117"/>
    <mergeCell ref="F117:K117"/>
    <mergeCell ref="L117:AR117"/>
    <mergeCell ref="AS117:AT117"/>
    <mergeCell ref="AU117:CJ117"/>
    <mergeCell ref="CK117:CO117"/>
    <mergeCell ref="CP117:CW117"/>
    <mergeCell ref="CX117:DE117"/>
    <mergeCell ref="DF117:DM117"/>
    <mergeCell ref="DN117:DU117"/>
    <mergeCell ref="DV117:EC117"/>
    <mergeCell ref="ED117:EK117"/>
    <mergeCell ref="EL117:EQ117"/>
    <mergeCell ref="A118:B118"/>
    <mergeCell ref="C118:E118"/>
    <mergeCell ref="F118:K118"/>
    <mergeCell ref="L118:AR118"/>
    <mergeCell ref="AS118:AT118"/>
    <mergeCell ref="AU118:CJ118"/>
    <mergeCell ref="CK118:CO118"/>
    <mergeCell ref="CP118:CW118"/>
    <mergeCell ref="CX118:DE118"/>
    <mergeCell ref="DF118:DM118"/>
    <mergeCell ref="DN118:DU118"/>
    <mergeCell ref="DV118:EC118"/>
    <mergeCell ref="ED118:EK118"/>
    <mergeCell ref="EL118:EQ118"/>
    <mergeCell ref="A119:B119"/>
    <mergeCell ref="C119:E119"/>
    <mergeCell ref="F119:K119"/>
    <mergeCell ref="L119:AR119"/>
    <mergeCell ref="AS119:AT119"/>
    <mergeCell ref="AU119:CJ119"/>
    <mergeCell ref="CK119:CO119"/>
    <mergeCell ref="CP119:CW119"/>
    <mergeCell ref="CX119:DE119"/>
    <mergeCell ref="DF119:DM119"/>
    <mergeCell ref="DN119:DU119"/>
    <mergeCell ref="DV119:EC119"/>
    <mergeCell ref="ED119:EK119"/>
    <mergeCell ref="EL119:EQ119"/>
    <mergeCell ref="A120:B120"/>
    <mergeCell ref="C120:E120"/>
    <mergeCell ref="F120:K120"/>
    <mergeCell ref="L120:AR120"/>
    <mergeCell ref="AS120:AT120"/>
    <mergeCell ref="AU120:CJ120"/>
    <mergeCell ref="CK120:CO120"/>
    <mergeCell ref="CP120:CW120"/>
    <mergeCell ref="CX120:DE120"/>
    <mergeCell ref="DF120:DM120"/>
    <mergeCell ref="DN120:DU120"/>
    <mergeCell ref="DV120:EC120"/>
    <mergeCell ref="ED120:EK120"/>
    <mergeCell ref="EL120:EQ120"/>
    <mergeCell ref="A121:B121"/>
    <mergeCell ref="C121:E121"/>
    <mergeCell ref="F121:K121"/>
    <mergeCell ref="L121:AR121"/>
    <mergeCell ref="AS121:AT121"/>
    <mergeCell ref="AU121:CJ121"/>
    <mergeCell ref="CK121:CO121"/>
    <mergeCell ref="CP121:CW121"/>
    <mergeCell ref="CX121:DE121"/>
    <mergeCell ref="DF121:DM121"/>
    <mergeCell ref="DN121:DU121"/>
    <mergeCell ref="DV121:EC121"/>
    <mergeCell ref="ED121:EK121"/>
    <mergeCell ref="EL121:EQ121"/>
    <mergeCell ref="A122:B122"/>
    <mergeCell ref="C122:E122"/>
    <mergeCell ref="F122:K122"/>
    <mergeCell ref="L122:AR122"/>
    <mergeCell ref="AS122:AT122"/>
    <mergeCell ref="AU122:CJ122"/>
    <mergeCell ref="CK122:CO122"/>
    <mergeCell ref="CP122:CW122"/>
    <mergeCell ref="CX122:DE122"/>
    <mergeCell ref="DF122:DM122"/>
    <mergeCell ref="DN122:DU122"/>
    <mergeCell ref="DV122:EC122"/>
    <mergeCell ref="ED122:EK122"/>
    <mergeCell ref="EL122:EQ122"/>
    <mergeCell ref="A123:B123"/>
    <mergeCell ref="C123:E123"/>
    <mergeCell ref="F123:K123"/>
    <mergeCell ref="L123:AR123"/>
    <mergeCell ref="AS123:AT123"/>
    <mergeCell ref="AU123:CJ123"/>
    <mergeCell ref="CK123:CO123"/>
    <mergeCell ref="CP123:CW123"/>
    <mergeCell ref="CX123:DE123"/>
    <mergeCell ref="DF123:DM123"/>
    <mergeCell ref="DN123:DU123"/>
    <mergeCell ref="DV123:EC123"/>
    <mergeCell ref="ED123:EK123"/>
    <mergeCell ref="EL123:EQ123"/>
    <mergeCell ref="A124:B124"/>
    <mergeCell ref="C124:E124"/>
    <mergeCell ref="F124:K124"/>
    <mergeCell ref="L124:AR124"/>
    <mergeCell ref="AS124:AT124"/>
    <mergeCell ref="AU124:CJ124"/>
    <mergeCell ref="CK124:CO124"/>
    <mergeCell ref="CP124:CW124"/>
    <mergeCell ref="CX124:DE124"/>
    <mergeCell ref="DF124:DM124"/>
    <mergeCell ref="DN124:DU124"/>
    <mergeCell ref="DV124:EC124"/>
    <mergeCell ref="ED124:EK124"/>
    <mergeCell ref="EL124:EQ124"/>
    <mergeCell ref="A125:B125"/>
    <mergeCell ref="C125:E125"/>
    <mergeCell ref="F125:K125"/>
    <mergeCell ref="L125:AR125"/>
    <mergeCell ref="AS125:AT125"/>
    <mergeCell ref="AU125:CJ125"/>
    <mergeCell ref="CK125:CO125"/>
    <mergeCell ref="CP125:CW125"/>
    <mergeCell ref="CX125:DE125"/>
    <mergeCell ref="DF125:DM125"/>
    <mergeCell ref="DN125:DU125"/>
    <mergeCell ref="DV125:EC125"/>
    <mergeCell ref="ED125:EK125"/>
    <mergeCell ref="EL125:EQ125"/>
    <mergeCell ref="A126:B126"/>
    <mergeCell ref="C126:E126"/>
    <mergeCell ref="F126:K126"/>
    <mergeCell ref="L126:AR126"/>
    <mergeCell ref="AS126:AT126"/>
    <mergeCell ref="AU126:CJ126"/>
    <mergeCell ref="CK126:CO126"/>
    <mergeCell ref="CP126:CW126"/>
    <mergeCell ref="CX126:DE126"/>
    <mergeCell ref="DF126:DM126"/>
    <mergeCell ref="DN126:DU126"/>
    <mergeCell ref="DV126:EC126"/>
    <mergeCell ref="ED126:EK126"/>
    <mergeCell ref="EL126:EQ126"/>
    <mergeCell ref="A127:B127"/>
    <mergeCell ref="C127:E127"/>
    <mergeCell ref="F127:K127"/>
    <mergeCell ref="L127:AR127"/>
    <mergeCell ref="AS127:AT127"/>
    <mergeCell ref="AU127:CJ127"/>
    <mergeCell ref="CK127:CO127"/>
    <mergeCell ref="CP127:CW127"/>
    <mergeCell ref="CX127:DE127"/>
    <mergeCell ref="DF127:DM127"/>
    <mergeCell ref="DN127:DU127"/>
    <mergeCell ref="DV127:EC127"/>
    <mergeCell ref="ED127:EK127"/>
    <mergeCell ref="EL127:EQ127"/>
    <mergeCell ref="A128:B128"/>
    <mergeCell ref="C128:E128"/>
    <mergeCell ref="F128:K128"/>
    <mergeCell ref="L128:AR128"/>
    <mergeCell ref="AS128:AT128"/>
    <mergeCell ref="AU128:CJ128"/>
    <mergeCell ref="CK128:CO128"/>
    <mergeCell ref="CP128:CW128"/>
    <mergeCell ref="CX128:DE128"/>
    <mergeCell ref="DF128:DM128"/>
    <mergeCell ref="DN128:DU128"/>
    <mergeCell ref="DV128:EC128"/>
    <mergeCell ref="ED128:EK128"/>
    <mergeCell ref="EL128:EQ128"/>
    <mergeCell ref="A129:B129"/>
    <mergeCell ref="C129:E129"/>
    <mergeCell ref="F129:K129"/>
    <mergeCell ref="L129:AR129"/>
    <mergeCell ref="AS129:AT129"/>
    <mergeCell ref="AU129:CJ129"/>
    <mergeCell ref="CK129:CO129"/>
    <mergeCell ref="CP129:CW129"/>
    <mergeCell ref="CX129:DE129"/>
    <mergeCell ref="DF129:DM129"/>
    <mergeCell ref="DN129:DU129"/>
    <mergeCell ref="DV129:EC129"/>
    <mergeCell ref="ED129:EK129"/>
    <mergeCell ref="EL129:EQ129"/>
    <mergeCell ref="A130:B130"/>
    <mergeCell ref="C130:E130"/>
    <mergeCell ref="F130:K130"/>
    <mergeCell ref="L130:AR130"/>
    <mergeCell ref="AS130:AT130"/>
    <mergeCell ref="AU130:CJ130"/>
    <mergeCell ref="CK130:CO130"/>
    <mergeCell ref="CP130:CW130"/>
    <mergeCell ref="CX130:DE130"/>
    <mergeCell ref="DF130:DM130"/>
    <mergeCell ref="DN130:DU130"/>
    <mergeCell ref="DV130:EC130"/>
    <mergeCell ref="ED130:EK130"/>
    <mergeCell ref="EL130:EQ130"/>
    <mergeCell ref="A131:B131"/>
    <mergeCell ref="C131:E131"/>
    <mergeCell ref="F131:K131"/>
    <mergeCell ref="L131:AR131"/>
    <mergeCell ref="AS131:AT131"/>
    <mergeCell ref="AU131:CJ131"/>
    <mergeCell ref="CK131:CO131"/>
    <mergeCell ref="CP131:CW131"/>
    <mergeCell ref="CX131:DE131"/>
    <mergeCell ref="DF131:DM131"/>
    <mergeCell ref="DN131:DU131"/>
    <mergeCell ref="DV131:EC131"/>
    <mergeCell ref="ED131:EK131"/>
    <mergeCell ref="EL131:EQ131"/>
    <mergeCell ref="A132:B132"/>
    <mergeCell ref="C132:E132"/>
    <mergeCell ref="F132:K132"/>
    <mergeCell ref="L132:AR132"/>
    <mergeCell ref="AS132:AT132"/>
    <mergeCell ref="AU132:CJ132"/>
    <mergeCell ref="CK132:CO132"/>
    <mergeCell ref="CP132:CW132"/>
    <mergeCell ref="CX132:DE132"/>
    <mergeCell ref="DF132:DM132"/>
    <mergeCell ref="DN132:DU132"/>
    <mergeCell ref="DV132:EC132"/>
    <mergeCell ref="ED132:EK132"/>
    <mergeCell ref="EL132:EQ132"/>
    <mergeCell ref="A133:B133"/>
    <mergeCell ref="C133:E133"/>
    <mergeCell ref="F133:K133"/>
    <mergeCell ref="L133:AR133"/>
    <mergeCell ref="AS133:AT133"/>
    <mergeCell ref="AU133:CJ133"/>
    <mergeCell ref="CK133:CO133"/>
    <mergeCell ref="CP133:CW133"/>
    <mergeCell ref="CX133:DE133"/>
    <mergeCell ref="DF133:DM133"/>
    <mergeCell ref="DN133:DU133"/>
    <mergeCell ref="DV133:EC133"/>
    <mergeCell ref="ED133:EK133"/>
    <mergeCell ref="EL133:EQ133"/>
    <mergeCell ref="A134:B134"/>
    <mergeCell ref="C134:E134"/>
    <mergeCell ref="F134:K134"/>
    <mergeCell ref="L134:AR134"/>
    <mergeCell ref="AS134:AT134"/>
    <mergeCell ref="AU134:CJ134"/>
    <mergeCell ref="CK134:CO134"/>
    <mergeCell ref="CP134:CW134"/>
    <mergeCell ref="CX134:DE134"/>
    <mergeCell ref="DF134:DM134"/>
    <mergeCell ref="DN134:DU134"/>
    <mergeCell ref="DV134:EC134"/>
    <mergeCell ref="ED134:EK134"/>
    <mergeCell ref="EL134:EQ134"/>
    <mergeCell ref="A135:B135"/>
    <mergeCell ref="C135:E135"/>
    <mergeCell ref="F135:K135"/>
    <mergeCell ref="L135:AR135"/>
    <mergeCell ref="AS135:AT135"/>
    <mergeCell ref="AU135:CJ135"/>
    <mergeCell ref="CK135:CO135"/>
    <mergeCell ref="CP135:CW135"/>
    <mergeCell ref="CX135:DE135"/>
    <mergeCell ref="DF135:DM135"/>
    <mergeCell ref="DN135:DU135"/>
    <mergeCell ref="DV135:EC135"/>
    <mergeCell ref="ED135:EK135"/>
    <mergeCell ref="EL135:EQ135"/>
    <mergeCell ref="A136:B136"/>
    <mergeCell ref="C136:E136"/>
    <mergeCell ref="F136:K136"/>
    <mergeCell ref="L136:AR136"/>
    <mergeCell ref="AS136:AT136"/>
    <mergeCell ref="AU136:CJ136"/>
    <mergeCell ref="CK136:CO136"/>
    <mergeCell ref="CP136:CW136"/>
    <mergeCell ref="CX136:DE136"/>
    <mergeCell ref="DF136:DM136"/>
    <mergeCell ref="DN136:DU136"/>
    <mergeCell ref="DV136:EC136"/>
    <mergeCell ref="ED136:EK136"/>
    <mergeCell ref="EL136:EQ136"/>
    <mergeCell ref="A137:B137"/>
    <mergeCell ref="C137:E137"/>
    <mergeCell ref="F137:K137"/>
    <mergeCell ref="L137:AR137"/>
    <mergeCell ref="AS137:AT137"/>
    <mergeCell ref="AU137:CJ137"/>
    <mergeCell ref="CK137:CO137"/>
    <mergeCell ref="CP137:CW137"/>
    <mergeCell ref="CX137:DE137"/>
    <mergeCell ref="DF137:DM137"/>
    <mergeCell ref="DN137:DU137"/>
    <mergeCell ref="DV137:EC137"/>
    <mergeCell ref="ED137:EK137"/>
    <mergeCell ref="EL137:EQ137"/>
    <mergeCell ref="A138:B138"/>
    <mergeCell ref="C138:E138"/>
    <mergeCell ref="F138:K138"/>
    <mergeCell ref="L138:AR138"/>
    <mergeCell ref="AS138:AT138"/>
    <mergeCell ref="AU138:CJ138"/>
    <mergeCell ref="CK138:CO138"/>
    <mergeCell ref="CP138:CW138"/>
    <mergeCell ref="CX138:DE138"/>
    <mergeCell ref="DF138:DM138"/>
    <mergeCell ref="DN138:DU138"/>
    <mergeCell ref="DV138:EC138"/>
    <mergeCell ref="ED138:EK138"/>
    <mergeCell ref="EL138:EQ138"/>
    <mergeCell ref="A139:B139"/>
    <mergeCell ref="C139:E139"/>
    <mergeCell ref="F139:K139"/>
    <mergeCell ref="L139:AR139"/>
    <mergeCell ref="AS139:AT139"/>
    <mergeCell ref="AU139:CJ139"/>
    <mergeCell ref="CK139:CO139"/>
    <mergeCell ref="CP139:CW139"/>
    <mergeCell ref="CX139:DE139"/>
    <mergeCell ref="DF139:DM139"/>
    <mergeCell ref="DN139:DU139"/>
    <mergeCell ref="DV139:EC139"/>
    <mergeCell ref="ED139:EK139"/>
    <mergeCell ref="EL139:EQ139"/>
    <mergeCell ref="A140:B140"/>
    <mergeCell ref="C140:E140"/>
    <mergeCell ref="F140:K140"/>
    <mergeCell ref="L140:AR140"/>
    <mergeCell ref="AS140:AT140"/>
    <mergeCell ref="AU140:CJ140"/>
    <mergeCell ref="CK140:CO140"/>
    <mergeCell ref="CP140:CW140"/>
    <mergeCell ref="CX140:DE140"/>
    <mergeCell ref="DF140:DM140"/>
    <mergeCell ref="DN140:DU140"/>
    <mergeCell ref="DV140:EC140"/>
    <mergeCell ref="ED140:EK140"/>
    <mergeCell ref="EL140:EQ140"/>
    <mergeCell ref="A141:B141"/>
    <mergeCell ref="C141:E141"/>
    <mergeCell ref="F141:K141"/>
    <mergeCell ref="L141:AR141"/>
    <mergeCell ref="AS141:AT141"/>
    <mergeCell ref="AU141:CJ141"/>
    <mergeCell ref="CK141:CO141"/>
    <mergeCell ref="CP141:CW141"/>
    <mergeCell ref="CX141:DE141"/>
    <mergeCell ref="DF141:DM141"/>
    <mergeCell ref="DN141:DU141"/>
    <mergeCell ref="DV141:EC141"/>
    <mergeCell ref="ED141:EK141"/>
    <mergeCell ref="EL141:EQ141"/>
    <mergeCell ref="A142:B142"/>
    <mergeCell ref="C142:E142"/>
    <mergeCell ref="F142:K142"/>
    <mergeCell ref="L142:AR142"/>
    <mergeCell ref="AS142:AT142"/>
    <mergeCell ref="AU142:CJ142"/>
    <mergeCell ref="CK142:CO142"/>
    <mergeCell ref="CP142:CW142"/>
    <mergeCell ref="CX142:DE142"/>
    <mergeCell ref="DF142:DM142"/>
    <mergeCell ref="DN142:DU142"/>
    <mergeCell ref="DV142:EC142"/>
    <mergeCell ref="ED142:EK142"/>
    <mergeCell ref="EL142:EQ142"/>
    <mergeCell ref="A143:B143"/>
    <mergeCell ref="C143:E143"/>
    <mergeCell ref="F143:K143"/>
    <mergeCell ref="L143:AR143"/>
    <mergeCell ref="AS143:AT143"/>
    <mergeCell ref="AU143:CJ143"/>
    <mergeCell ref="CK143:CO143"/>
    <mergeCell ref="CP143:CW143"/>
    <mergeCell ref="CX143:DE143"/>
    <mergeCell ref="DF143:DM143"/>
    <mergeCell ref="DN143:DU143"/>
    <mergeCell ref="DV143:EC143"/>
    <mergeCell ref="ED143:EK143"/>
    <mergeCell ref="EL143:EQ143"/>
    <mergeCell ref="A144:B144"/>
    <mergeCell ref="C144:E144"/>
    <mergeCell ref="F144:K144"/>
    <mergeCell ref="L144:AR144"/>
    <mergeCell ref="AS144:AT144"/>
    <mergeCell ref="AU144:CJ144"/>
    <mergeCell ref="CK144:CO144"/>
    <mergeCell ref="CP144:CW144"/>
    <mergeCell ref="CX144:DE144"/>
    <mergeCell ref="DF144:DM144"/>
    <mergeCell ref="DN144:DU144"/>
    <mergeCell ref="DV144:EC144"/>
    <mergeCell ref="ED144:EK144"/>
    <mergeCell ref="EL144:EQ144"/>
    <mergeCell ref="A145:B145"/>
    <mergeCell ref="C145:E145"/>
    <mergeCell ref="F145:K145"/>
    <mergeCell ref="L145:AR145"/>
    <mergeCell ref="AS145:AT145"/>
    <mergeCell ref="AU145:CJ145"/>
    <mergeCell ref="CK145:CO145"/>
    <mergeCell ref="CP145:CW145"/>
    <mergeCell ref="CX145:DE145"/>
    <mergeCell ref="DF145:DM145"/>
    <mergeCell ref="DN145:DU145"/>
    <mergeCell ref="DV145:EC145"/>
    <mergeCell ref="ED145:EK145"/>
    <mergeCell ref="EL145:EQ145"/>
    <mergeCell ref="A146:B146"/>
    <mergeCell ref="C146:E146"/>
    <mergeCell ref="F146:K146"/>
    <mergeCell ref="L146:AR146"/>
    <mergeCell ref="AS146:AT146"/>
    <mergeCell ref="AU146:CJ146"/>
    <mergeCell ref="CK146:CO146"/>
    <mergeCell ref="CP146:CW146"/>
    <mergeCell ref="CX146:DE146"/>
    <mergeCell ref="DF146:DM146"/>
    <mergeCell ref="DN146:DU146"/>
    <mergeCell ref="DV146:EC146"/>
    <mergeCell ref="ED146:EK146"/>
    <mergeCell ref="EL146:EQ146"/>
    <mergeCell ref="A147:B147"/>
    <mergeCell ref="C147:E147"/>
    <mergeCell ref="F147:K147"/>
    <mergeCell ref="L147:AR147"/>
    <mergeCell ref="AS147:AT147"/>
    <mergeCell ref="AU147:CJ147"/>
    <mergeCell ref="CK147:CO147"/>
    <mergeCell ref="CP147:CW147"/>
    <mergeCell ref="CX147:DE147"/>
    <mergeCell ref="DF147:DM147"/>
    <mergeCell ref="DN147:DU147"/>
    <mergeCell ref="DV147:EC147"/>
    <mergeCell ref="ED147:EK147"/>
    <mergeCell ref="EL147:EQ147"/>
    <mergeCell ref="A148:B148"/>
    <mergeCell ref="C148:E148"/>
    <mergeCell ref="F148:K148"/>
    <mergeCell ref="L148:AR148"/>
    <mergeCell ref="AS148:AT148"/>
    <mergeCell ref="AU148:CJ148"/>
    <mergeCell ref="CK148:CO148"/>
    <mergeCell ref="CP148:CW148"/>
    <mergeCell ref="CX148:DE148"/>
    <mergeCell ref="DF148:DM148"/>
    <mergeCell ref="DN148:DU148"/>
    <mergeCell ref="DV148:EC148"/>
    <mergeCell ref="ED148:EK148"/>
    <mergeCell ref="EL148:EQ148"/>
    <mergeCell ref="A149:B149"/>
    <mergeCell ref="C149:E149"/>
    <mergeCell ref="F149:K149"/>
    <mergeCell ref="L149:AR149"/>
    <mergeCell ref="AS149:AT149"/>
    <mergeCell ref="AU149:CJ149"/>
    <mergeCell ref="CK149:CO149"/>
    <mergeCell ref="CP149:CW149"/>
    <mergeCell ref="CX149:DE149"/>
    <mergeCell ref="DF149:DM149"/>
    <mergeCell ref="DN149:DU149"/>
    <mergeCell ref="DV149:EC149"/>
    <mergeCell ref="ED149:EK149"/>
    <mergeCell ref="EL149:EQ149"/>
    <mergeCell ref="A150:B150"/>
    <mergeCell ref="C150:E150"/>
    <mergeCell ref="F150:K150"/>
    <mergeCell ref="L150:AR150"/>
    <mergeCell ref="AS150:AT150"/>
    <mergeCell ref="AU150:CJ150"/>
    <mergeCell ref="CK150:CO150"/>
    <mergeCell ref="CP150:CW150"/>
    <mergeCell ref="CX150:DE150"/>
    <mergeCell ref="DF150:DM150"/>
    <mergeCell ref="DN150:DU150"/>
    <mergeCell ref="DV150:EC150"/>
    <mergeCell ref="ED150:EK150"/>
    <mergeCell ref="EL150:EQ150"/>
    <mergeCell ref="A151:B151"/>
    <mergeCell ref="C151:E151"/>
    <mergeCell ref="F151:K151"/>
    <mergeCell ref="L151:AR151"/>
    <mergeCell ref="AS151:AT151"/>
    <mergeCell ref="AU151:CJ151"/>
    <mergeCell ref="CK151:CO151"/>
    <mergeCell ref="CP151:CW151"/>
    <mergeCell ref="CX151:DE151"/>
    <mergeCell ref="DF151:DM151"/>
    <mergeCell ref="DN151:DU151"/>
    <mergeCell ref="DV151:EC151"/>
    <mergeCell ref="ED151:EK151"/>
    <mergeCell ref="EL151:EQ151"/>
    <mergeCell ref="A152:B152"/>
    <mergeCell ref="C152:E152"/>
    <mergeCell ref="F152:K152"/>
    <mergeCell ref="L152:AR152"/>
    <mergeCell ref="AS152:AT152"/>
    <mergeCell ref="AU152:CJ152"/>
    <mergeCell ref="CK152:CO152"/>
    <mergeCell ref="CP152:CW152"/>
    <mergeCell ref="CX152:DE152"/>
    <mergeCell ref="DF152:DM152"/>
    <mergeCell ref="DN152:DU152"/>
    <mergeCell ref="DV152:EC152"/>
    <mergeCell ref="ED152:EK152"/>
    <mergeCell ref="EL152:EQ152"/>
    <mergeCell ref="A153:B153"/>
    <mergeCell ref="C153:E153"/>
    <mergeCell ref="F153:K153"/>
    <mergeCell ref="L153:AR153"/>
    <mergeCell ref="AS153:AT153"/>
    <mergeCell ref="AU153:CJ153"/>
    <mergeCell ref="CK153:CO153"/>
    <mergeCell ref="CP153:CW153"/>
    <mergeCell ref="CX153:DE153"/>
    <mergeCell ref="DF153:DM153"/>
    <mergeCell ref="DN153:DU153"/>
    <mergeCell ref="DV153:EC153"/>
    <mergeCell ref="ED153:EK153"/>
    <mergeCell ref="EL153:EQ153"/>
    <mergeCell ref="A154:B154"/>
    <mergeCell ref="C154:E154"/>
    <mergeCell ref="F154:K154"/>
    <mergeCell ref="L154:AR154"/>
    <mergeCell ref="AS154:AT154"/>
    <mergeCell ref="AU154:CJ154"/>
    <mergeCell ref="CK154:CO154"/>
    <mergeCell ref="CP154:CW154"/>
    <mergeCell ref="CX154:DE154"/>
    <mergeCell ref="DF154:DM154"/>
    <mergeCell ref="DN154:DU154"/>
    <mergeCell ref="DV154:EC154"/>
    <mergeCell ref="ED154:EK154"/>
    <mergeCell ref="EL154:EQ154"/>
    <mergeCell ref="A155:B155"/>
    <mergeCell ref="C155:E155"/>
    <mergeCell ref="F155:K155"/>
    <mergeCell ref="L155:AR155"/>
    <mergeCell ref="AS155:AT155"/>
    <mergeCell ref="AU155:CJ155"/>
    <mergeCell ref="CK155:CO155"/>
    <mergeCell ref="CP155:CW155"/>
    <mergeCell ref="CX155:DE155"/>
    <mergeCell ref="DF155:DM155"/>
    <mergeCell ref="DN155:DU155"/>
    <mergeCell ref="DV155:EC155"/>
    <mergeCell ref="ED155:EK155"/>
    <mergeCell ref="EL155:EQ155"/>
    <mergeCell ref="A156:B156"/>
    <mergeCell ref="C156:E156"/>
    <mergeCell ref="F156:K156"/>
    <mergeCell ref="L156:AR156"/>
    <mergeCell ref="AS156:AT156"/>
    <mergeCell ref="AU156:CJ156"/>
    <mergeCell ref="CK156:CO156"/>
    <mergeCell ref="CP156:CW156"/>
    <mergeCell ref="CX156:DE156"/>
    <mergeCell ref="DF156:DM156"/>
    <mergeCell ref="DN156:DU156"/>
    <mergeCell ref="DV156:EC156"/>
    <mergeCell ref="ED156:EK156"/>
    <mergeCell ref="EL156:EQ156"/>
    <mergeCell ref="A157:AT157"/>
    <mergeCell ref="AU157:CJ157"/>
    <mergeCell ref="CK157:CO157"/>
    <mergeCell ref="CP157:EQ157"/>
    <mergeCell ref="A158:B158"/>
    <mergeCell ref="C158:E158"/>
    <mergeCell ref="F158:K158"/>
    <mergeCell ref="L158:AR158"/>
    <mergeCell ref="AS158:AT158"/>
    <mergeCell ref="AU158:CJ158"/>
    <mergeCell ref="CK158:CO158"/>
    <mergeCell ref="CP158:CW158"/>
    <mergeCell ref="CX158:DE158"/>
    <mergeCell ref="DF158:DM158"/>
    <mergeCell ref="DN158:DU158"/>
    <mergeCell ref="DV158:EC158"/>
    <mergeCell ref="ED158:EK158"/>
    <mergeCell ref="EL158:EQ158"/>
    <mergeCell ref="A159:B159"/>
    <mergeCell ref="C159:E159"/>
    <mergeCell ref="F159:K159"/>
    <mergeCell ref="L159:AR159"/>
    <mergeCell ref="AS159:AT159"/>
    <mergeCell ref="AU159:CJ159"/>
    <mergeCell ref="CK159:CO159"/>
    <mergeCell ref="CP159:CW159"/>
    <mergeCell ref="CX159:DE159"/>
    <mergeCell ref="DF159:DM159"/>
    <mergeCell ref="DN159:DU159"/>
    <mergeCell ref="DV159:EC159"/>
    <mergeCell ref="ED159:EK159"/>
    <mergeCell ref="EL159:EQ159"/>
    <mergeCell ref="A160:B160"/>
    <mergeCell ref="C160:E160"/>
    <mergeCell ref="F160:K160"/>
    <mergeCell ref="L160:AR160"/>
    <mergeCell ref="AS160:AT160"/>
    <mergeCell ref="AU160:CJ160"/>
    <mergeCell ref="CK160:CO160"/>
    <mergeCell ref="CP160:CW160"/>
    <mergeCell ref="CX160:DE160"/>
    <mergeCell ref="DF160:DM160"/>
    <mergeCell ref="DN160:DU160"/>
    <mergeCell ref="DV160:EC160"/>
    <mergeCell ref="ED160:EK160"/>
    <mergeCell ref="EL160:EQ160"/>
    <mergeCell ref="A161:B161"/>
    <mergeCell ref="C161:E161"/>
    <mergeCell ref="F161:K161"/>
    <mergeCell ref="L161:AR161"/>
    <mergeCell ref="AS161:AT161"/>
    <mergeCell ref="AU161:CJ161"/>
    <mergeCell ref="CK161:CO161"/>
    <mergeCell ref="CP161:CW161"/>
    <mergeCell ref="CX161:DE161"/>
    <mergeCell ref="DF161:DM161"/>
    <mergeCell ref="DN161:DU161"/>
    <mergeCell ref="DV161:EC161"/>
    <mergeCell ref="ED161:EK161"/>
    <mergeCell ref="EL161:EQ161"/>
    <mergeCell ref="A162:B162"/>
    <mergeCell ref="C162:E162"/>
    <mergeCell ref="F162:K162"/>
    <mergeCell ref="L162:AR162"/>
    <mergeCell ref="AS162:AT162"/>
    <mergeCell ref="AU162:CJ162"/>
    <mergeCell ref="CK162:CO162"/>
    <mergeCell ref="CP162:CW162"/>
    <mergeCell ref="CX162:DE162"/>
    <mergeCell ref="DF162:DM162"/>
    <mergeCell ref="DN162:DU162"/>
    <mergeCell ref="DV162:EC162"/>
    <mergeCell ref="ED162:EK162"/>
    <mergeCell ref="EL162:EQ162"/>
    <mergeCell ref="A163:B163"/>
    <mergeCell ref="C163:E163"/>
    <mergeCell ref="F163:K163"/>
    <mergeCell ref="L163:AR163"/>
    <mergeCell ref="AS163:AT163"/>
    <mergeCell ref="AU163:CJ163"/>
    <mergeCell ref="CK163:CO163"/>
    <mergeCell ref="CP163:CW163"/>
    <mergeCell ref="CX163:DE163"/>
    <mergeCell ref="DF163:DM163"/>
    <mergeCell ref="DN163:DU163"/>
    <mergeCell ref="DV163:EC163"/>
    <mergeCell ref="ED163:EK163"/>
    <mergeCell ref="EL163:EQ163"/>
    <mergeCell ref="A164:B164"/>
    <mergeCell ref="C164:E164"/>
    <mergeCell ref="F164:K164"/>
    <mergeCell ref="L164:AR164"/>
    <mergeCell ref="AS164:AT164"/>
    <mergeCell ref="AU164:CJ164"/>
    <mergeCell ref="CK164:CO164"/>
    <mergeCell ref="CP164:CW164"/>
    <mergeCell ref="CX164:DE164"/>
    <mergeCell ref="DF164:DM164"/>
    <mergeCell ref="DN164:DU164"/>
    <mergeCell ref="DV164:EC164"/>
    <mergeCell ref="ED164:EK164"/>
    <mergeCell ref="EL164:EQ164"/>
    <mergeCell ref="A165:B165"/>
    <mergeCell ref="C165:E165"/>
    <mergeCell ref="F165:K165"/>
    <mergeCell ref="L165:AR165"/>
    <mergeCell ref="AS165:AT165"/>
    <mergeCell ref="AU165:CJ165"/>
    <mergeCell ref="CK165:CO165"/>
    <mergeCell ref="CP165:CW165"/>
    <mergeCell ref="CX165:DE165"/>
    <mergeCell ref="DF165:DM165"/>
    <mergeCell ref="DN165:DU165"/>
    <mergeCell ref="DV165:EC165"/>
    <mergeCell ref="ED165:EK165"/>
    <mergeCell ref="EL165:EQ165"/>
    <mergeCell ref="A166:B166"/>
    <mergeCell ref="C166:E166"/>
    <mergeCell ref="F166:K166"/>
    <mergeCell ref="L166:AR166"/>
    <mergeCell ref="AS166:AT166"/>
    <mergeCell ref="AU166:CJ166"/>
    <mergeCell ref="CK166:CO166"/>
    <mergeCell ref="CP166:CW166"/>
    <mergeCell ref="CX166:DE166"/>
    <mergeCell ref="DF166:DM166"/>
    <mergeCell ref="DN166:DU166"/>
    <mergeCell ref="DV166:EC166"/>
    <mergeCell ref="ED166:EK166"/>
    <mergeCell ref="EL166:EQ166"/>
    <mergeCell ref="A167:B167"/>
    <mergeCell ref="C167:E167"/>
    <mergeCell ref="F167:K167"/>
    <mergeCell ref="L167:AR167"/>
    <mergeCell ref="AS167:AT167"/>
    <mergeCell ref="AU167:CJ167"/>
    <mergeCell ref="CK167:CO167"/>
    <mergeCell ref="CP167:CW167"/>
    <mergeCell ref="CX167:DE167"/>
    <mergeCell ref="DF167:DM167"/>
    <mergeCell ref="DN167:DU167"/>
    <mergeCell ref="DV167:EC167"/>
    <mergeCell ref="ED167:EK167"/>
    <mergeCell ref="EL167:EQ167"/>
    <mergeCell ref="A168:B168"/>
    <mergeCell ref="C168:E168"/>
    <mergeCell ref="F168:K168"/>
    <mergeCell ref="L168:AR168"/>
    <mergeCell ref="AS168:AT168"/>
    <mergeCell ref="AU168:CJ168"/>
    <mergeCell ref="CK168:CO168"/>
    <mergeCell ref="CP168:CW168"/>
    <mergeCell ref="CX168:DE168"/>
    <mergeCell ref="DF168:DM168"/>
    <mergeCell ref="DN168:DU168"/>
    <mergeCell ref="DV168:EC168"/>
    <mergeCell ref="ED168:EK168"/>
    <mergeCell ref="EL168:EQ168"/>
    <mergeCell ref="A169:B169"/>
    <mergeCell ref="C169:E169"/>
    <mergeCell ref="F169:K169"/>
    <mergeCell ref="L169:AR169"/>
    <mergeCell ref="AS169:AT169"/>
    <mergeCell ref="AU169:CJ169"/>
    <mergeCell ref="CK169:CO169"/>
    <mergeCell ref="CP169:CW169"/>
    <mergeCell ref="CX169:DE169"/>
    <mergeCell ref="DF169:DM169"/>
    <mergeCell ref="DN169:DU169"/>
    <mergeCell ref="DV169:EC169"/>
    <mergeCell ref="ED169:EK169"/>
    <mergeCell ref="EL169:EQ169"/>
    <mergeCell ref="A170:B170"/>
    <mergeCell ref="C170:E170"/>
    <mergeCell ref="F170:K170"/>
    <mergeCell ref="L170:AR170"/>
    <mergeCell ref="AS170:AT170"/>
    <mergeCell ref="AU170:CJ170"/>
    <mergeCell ref="CK170:CO170"/>
    <mergeCell ref="CP170:CW170"/>
    <mergeCell ref="CX170:DE170"/>
    <mergeCell ref="DF170:DM170"/>
    <mergeCell ref="DN170:DU170"/>
    <mergeCell ref="DV170:EC170"/>
    <mergeCell ref="ED170:EK170"/>
    <mergeCell ref="EL170:EQ170"/>
    <mergeCell ref="A171:B171"/>
    <mergeCell ref="C171:E171"/>
    <mergeCell ref="F171:K171"/>
    <mergeCell ref="L171:AR171"/>
    <mergeCell ref="AS171:AT171"/>
    <mergeCell ref="AU171:CJ171"/>
    <mergeCell ref="CK171:CO171"/>
    <mergeCell ref="CP171:CW171"/>
    <mergeCell ref="CX171:DE171"/>
    <mergeCell ref="DF171:DM171"/>
    <mergeCell ref="DN171:DU171"/>
    <mergeCell ref="DV171:EC171"/>
    <mergeCell ref="ED171:EK171"/>
    <mergeCell ref="EL171:EQ171"/>
    <mergeCell ref="A172:B172"/>
    <mergeCell ref="C172:E172"/>
    <mergeCell ref="F172:K172"/>
    <mergeCell ref="L172:AR172"/>
    <mergeCell ref="AS172:AT172"/>
    <mergeCell ref="AU172:CJ172"/>
    <mergeCell ref="CK172:CO172"/>
    <mergeCell ref="CP172:CW172"/>
    <mergeCell ref="CX172:DE172"/>
    <mergeCell ref="DF172:DM172"/>
    <mergeCell ref="DN172:DU172"/>
    <mergeCell ref="DV172:EC172"/>
    <mergeCell ref="ED172:EK172"/>
    <mergeCell ref="EL172:EQ172"/>
    <mergeCell ref="A173:B173"/>
    <mergeCell ref="C173:E173"/>
    <mergeCell ref="F173:K173"/>
    <mergeCell ref="L173:AR173"/>
    <mergeCell ref="AS173:AT173"/>
    <mergeCell ref="AU173:CJ173"/>
    <mergeCell ref="CK173:CO173"/>
    <mergeCell ref="CP173:CW173"/>
    <mergeCell ref="CX173:DE173"/>
    <mergeCell ref="DF173:DM173"/>
    <mergeCell ref="DN173:DU173"/>
    <mergeCell ref="DV173:EC173"/>
    <mergeCell ref="ED173:EK173"/>
    <mergeCell ref="EL173:EQ173"/>
    <mergeCell ref="A174:B174"/>
    <mergeCell ref="C174:E174"/>
    <mergeCell ref="F174:K174"/>
    <mergeCell ref="L174:AR174"/>
    <mergeCell ref="AS174:AT174"/>
    <mergeCell ref="AU174:CJ174"/>
    <mergeCell ref="CK174:CO174"/>
    <mergeCell ref="CP174:CW174"/>
    <mergeCell ref="CX174:DE174"/>
    <mergeCell ref="DF174:DM174"/>
    <mergeCell ref="DN174:DU174"/>
    <mergeCell ref="DV174:EC174"/>
    <mergeCell ref="ED174:EK174"/>
    <mergeCell ref="EL174:EQ174"/>
    <mergeCell ref="A175:B175"/>
    <mergeCell ref="C175:E175"/>
    <mergeCell ref="F175:K175"/>
    <mergeCell ref="L175:AR175"/>
    <mergeCell ref="AS175:AT175"/>
    <mergeCell ref="AU175:CJ175"/>
    <mergeCell ref="CK175:CO175"/>
    <mergeCell ref="CP175:CW175"/>
    <mergeCell ref="CX175:DE175"/>
    <mergeCell ref="DF175:DM175"/>
    <mergeCell ref="DN175:DU175"/>
    <mergeCell ref="DV175:EC175"/>
    <mergeCell ref="ED175:EK175"/>
    <mergeCell ref="EL175:EQ175"/>
    <mergeCell ref="A176:B176"/>
    <mergeCell ref="C176:E176"/>
    <mergeCell ref="F176:K176"/>
    <mergeCell ref="L176:AR176"/>
    <mergeCell ref="AS176:AT176"/>
    <mergeCell ref="AU176:CJ176"/>
    <mergeCell ref="CK176:CO176"/>
    <mergeCell ref="CP176:CW176"/>
    <mergeCell ref="CX176:DE176"/>
    <mergeCell ref="DF176:DM176"/>
    <mergeCell ref="DN176:DU176"/>
    <mergeCell ref="DV176:EC176"/>
    <mergeCell ref="ED176:EK176"/>
    <mergeCell ref="EL176:EQ176"/>
    <mergeCell ref="A177:B177"/>
    <mergeCell ref="C177:E177"/>
    <mergeCell ref="F177:K177"/>
    <mergeCell ref="L177:AR177"/>
    <mergeCell ref="AS177:AT177"/>
    <mergeCell ref="AU177:CJ177"/>
    <mergeCell ref="CK177:CO177"/>
    <mergeCell ref="CP177:CW177"/>
    <mergeCell ref="CX177:DE177"/>
    <mergeCell ref="DF177:DM177"/>
    <mergeCell ref="DN177:DU177"/>
    <mergeCell ref="DV177:EC177"/>
    <mergeCell ref="ED177:EK177"/>
    <mergeCell ref="EL177:EQ177"/>
    <mergeCell ref="A178:B178"/>
    <mergeCell ref="C178:E178"/>
    <mergeCell ref="F178:K178"/>
    <mergeCell ref="L178:AR178"/>
    <mergeCell ref="AS178:AT178"/>
    <mergeCell ref="AU178:CJ178"/>
    <mergeCell ref="CK178:CO178"/>
    <mergeCell ref="CP178:CW178"/>
    <mergeCell ref="CX178:DE178"/>
    <mergeCell ref="DF178:DM178"/>
    <mergeCell ref="DN178:DU178"/>
    <mergeCell ref="DV178:EC178"/>
    <mergeCell ref="ED178:EK178"/>
    <mergeCell ref="EL178:EQ178"/>
    <mergeCell ref="A179:B179"/>
    <mergeCell ref="C179:E179"/>
    <mergeCell ref="F179:K179"/>
    <mergeCell ref="L179:AR179"/>
    <mergeCell ref="AS179:AT179"/>
    <mergeCell ref="AU179:CJ179"/>
    <mergeCell ref="CK179:CO179"/>
    <mergeCell ref="CP179:CW179"/>
    <mergeCell ref="CX179:DE179"/>
    <mergeCell ref="DF179:DM179"/>
    <mergeCell ref="DN179:DU179"/>
    <mergeCell ref="DV179:EC179"/>
    <mergeCell ref="ED179:EK179"/>
    <mergeCell ref="EL179:EQ179"/>
    <mergeCell ref="A180:B180"/>
    <mergeCell ref="C180:E180"/>
    <mergeCell ref="F180:K180"/>
    <mergeCell ref="L180:AR180"/>
    <mergeCell ref="AS180:AT180"/>
    <mergeCell ref="AU180:CJ180"/>
    <mergeCell ref="CK180:CO180"/>
    <mergeCell ref="CP180:CW180"/>
    <mergeCell ref="CX180:DE180"/>
    <mergeCell ref="DF180:DM180"/>
    <mergeCell ref="DN180:DU180"/>
    <mergeCell ref="DV180:EC180"/>
    <mergeCell ref="ED180:EK180"/>
    <mergeCell ref="EL180:EQ180"/>
    <mergeCell ref="A181:B181"/>
    <mergeCell ref="C181:E181"/>
    <mergeCell ref="F181:K181"/>
    <mergeCell ref="L181:AR181"/>
    <mergeCell ref="AS181:AT181"/>
    <mergeCell ref="AU181:CJ181"/>
    <mergeCell ref="CK181:CO181"/>
    <mergeCell ref="CP181:CW181"/>
    <mergeCell ref="CX181:DE181"/>
    <mergeCell ref="DF181:DM181"/>
    <mergeCell ref="DN181:DU181"/>
    <mergeCell ref="DV181:EC181"/>
    <mergeCell ref="ED181:EK181"/>
    <mergeCell ref="EL181:EQ181"/>
    <mergeCell ref="A182:B182"/>
    <mergeCell ref="C182:E182"/>
    <mergeCell ref="F182:K182"/>
    <mergeCell ref="L182:AR182"/>
    <mergeCell ref="AS182:AT182"/>
    <mergeCell ref="AU182:CJ182"/>
    <mergeCell ref="CK182:CO182"/>
    <mergeCell ref="CP182:CW182"/>
    <mergeCell ref="CX182:DE182"/>
    <mergeCell ref="DF182:DM182"/>
    <mergeCell ref="DN182:DU182"/>
    <mergeCell ref="DV182:EC182"/>
    <mergeCell ref="ED182:EK182"/>
    <mergeCell ref="EL182:EQ182"/>
    <mergeCell ref="A183:B183"/>
    <mergeCell ref="C183:E183"/>
    <mergeCell ref="F183:K183"/>
    <mergeCell ref="L183:AR183"/>
    <mergeCell ref="AS183:AT183"/>
    <mergeCell ref="AU183:CJ183"/>
    <mergeCell ref="CK183:CO183"/>
    <mergeCell ref="CP183:CW183"/>
    <mergeCell ref="CX183:DE183"/>
    <mergeCell ref="DF183:DM183"/>
    <mergeCell ref="DN183:DU183"/>
    <mergeCell ref="DV183:EC183"/>
    <mergeCell ref="ED183:EK183"/>
    <mergeCell ref="EL183:EQ183"/>
    <mergeCell ref="A184:B184"/>
    <mergeCell ref="C184:E184"/>
    <mergeCell ref="F184:K184"/>
    <mergeCell ref="L184:AR184"/>
    <mergeCell ref="AS184:AT184"/>
    <mergeCell ref="AU184:CJ184"/>
    <mergeCell ref="CK184:CO184"/>
    <mergeCell ref="CP184:CW184"/>
    <mergeCell ref="CX184:DE184"/>
    <mergeCell ref="DF184:DM184"/>
    <mergeCell ref="DN184:DU184"/>
    <mergeCell ref="DV184:EC184"/>
    <mergeCell ref="ED184:EK184"/>
    <mergeCell ref="EL184:EQ184"/>
    <mergeCell ref="A185:B185"/>
    <mergeCell ref="C185:E185"/>
    <mergeCell ref="F185:K185"/>
    <mergeCell ref="L185:AR185"/>
    <mergeCell ref="AS185:AT185"/>
    <mergeCell ref="AU185:CJ185"/>
    <mergeCell ref="CK185:CO185"/>
    <mergeCell ref="CP185:CW185"/>
    <mergeCell ref="CX185:DE185"/>
    <mergeCell ref="DF185:DM185"/>
    <mergeCell ref="DN185:DU185"/>
    <mergeCell ref="DV185:EC185"/>
    <mergeCell ref="ED185:EK185"/>
    <mergeCell ref="EL185:EQ185"/>
    <mergeCell ref="A186:B186"/>
    <mergeCell ref="C186:E186"/>
    <mergeCell ref="F186:K186"/>
    <mergeCell ref="L186:AR186"/>
    <mergeCell ref="AS186:AT186"/>
    <mergeCell ref="AU186:CJ186"/>
    <mergeCell ref="CK186:CO186"/>
    <mergeCell ref="CP186:CW186"/>
    <mergeCell ref="CX186:DE186"/>
    <mergeCell ref="DF186:DM186"/>
    <mergeCell ref="DN186:DU186"/>
    <mergeCell ref="DV186:EC186"/>
    <mergeCell ref="ED186:EK186"/>
    <mergeCell ref="EL186:EQ186"/>
    <mergeCell ref="A187:B187"/>
    <mergeCell ref="C187:E187"/>
    <mergeCell ref="F187:K187"/>
    <mergeCell ref="L187:AR187"/>
    <mergeCell ref="AS187:AT187"/>
    <mergeCell ref="AU187:CJ187"/>
    <mergeCell ref="CK187:CO187"/>
    <mergeCell ref="CP187:CW187"/>
    <mergeCell ref="CX187:DE187"/>
    <mergeCell ref="DF187:DM187"/>
    <mergeCell ref="DN187:DU187"/>
    <mergeCell ref="DV187:EC187"/>
    <mergeCell ref="ED187:EK187"/>
    <mergeCell ref="EL187:EQ187"/>
    <mergeCell ref="A188:B188"/>
    <mergeCell ref="C188:E188"/>
    <mergeCell ref="F188:K188"/>
    <mergeCell ref="L188:AR188"/>
    <mergeCell ref="AS188:AT188"/>
    <mergeCell ref="AU188:CJ188"/>
    <mergeCell ref="CK188:CO188"/>
    <mergeCell ref="CP188:CW188"/>
    <mergeCell ref="CX188:DE188"/>
    <mergeCell ref="DF188:DM188"/>
    <mergeCell ref="DN188:DU188"/>
    <mergeCell ref="DV188:EC188"/>
    <mergeCell ref="ED188:EK188"/>
    <mergeCell ref="EL188:EQ188"/>
    <mergeCell ref="A189:B189"/>
    <mergeCell ref="C189:E189"/>
    <mergeCell ref="F189:K189"/>
    <mergeCell ref="L189:AR189"/>
    <mergeCell ref="AS189:AT189"/>
    <mergeCell ref="AU189:CJ189"/>
    <mergeCell ref="CK189:CO189"/>
    <mergeCell ref="CP189:CW189"/>
    <mergeCell ref="CX189:DE189"/>
    <mergeCell ref="DF189:DM189"/>
    <mergeCell ref="DN189:DU189"/>
    <mergeCell ref="DV189:EC189"/>
    <mergeCell ref="ED189:EK189"/>
    <mergeCell ref="EL189:EQ189"/>
    <mergeCell ref="A190:B190"/>
    <mergeCell ref="C190:E190"/>
    <mergeCell ref="F190:K190"/>
    <mergeCell ref="L190:AR190"/>
    <mergeCell ref="AS190:AT190"/>
    <mergeCell ref="AU190:CJ190"/>
    <mergeCell ref="CK190:CO190"/>
    <mergeCell ref="CP190:CW190"/>
    <mergeCell ref="CX190:DE190"/>
    <mergeCell ref="DF190:DM190"/>
    <mergeCell ref="DN190:DU190"/>
    <mergeCell ref="DV190:EC190"/>
    <mergeCell ref="ED190:EK190"/>
    <mergeCell ref="EL190:EQ190"/>
    <mergeCell ref="A191:B191"/>
    <mergeCell ref="C191:E191"/>
    <mergeCell ref="F191:K191"/>
    <mergeCell ref="L191:AR191"/>
    <mergeCell ref="AS191:AT191"/>
    <mergeCell ref="AU191:CJ191"/>
    <mergeCell ref="CK191:CO191"/>
    <mergeCell ref="CP191:CW191"/>
    <mergeCell ref="CX191:DE191"/>
    <mergeCell ref="DF191:DM191"/>
    <mergeCell ref="DN191:DU191"/>
    <mergeCell ref="DV191:EC191"/>
    <mergeCell ref="ED191:EK191"/>
    <mergeCell ref="EL191:EQ191"/>
    <mergeCell ref="A192:B192"/>
    <mergeCell ref="C192:E192"/>
    <mergeCell ref="F192:K192"/>
    <mergeCell ref="L192:AR192"/>
    <mergeCell ref="AS192:AT192"/>
    <mergeCell ref="AU192:CJ192"/>
    <mergeCell ref="CK192:CO192"/>
    <mergeCell ref="CP192:CW192"/>
    <mergeCell ref="CX192:DE192"/>
    <mergeCell ref="DF192:DM192"/>
    <mergeCell ref="DN192:DU192"/>
    <mergeCell ref="DV192:EC192"/>
    <mergeCell ref="ED192:EK192"/>
    <mergeCell ref="EL192:EQ192"/>
    <mergeCell ref="A193:B193"/>
    <mergeCell ref="C193:E193"/>
    <mergeCell ref="F193:K193"/>
    <mergeCell ref="L193:AR193"/>
    <mergeCell ref="AS193:AT193"/>
    <mergeCell ref="AU193:CJ193"/>
    <mergeCell ref="CK193:CO193"/>
    <mergeCell ref="CP193:CW193"/>
    <mergeCell ref="CX193:DE193"/>
    <mergeCell ref="DF193:DM193"/>
    <mergeCell ref="DN193:DU193"/>
    <mergeCell ref="DV193:EC193"/>
    <mergeCell ref="ED193:EK193"/>
    <mergeCell ref="EL193:EQ193"/>
    <mergeCell ref="A194:B194"/>
    <mergeCell ref="C194:E194"/>
    <mergeCell ref="F194:K194"/>
    <mergeCell ref="L194:AR194"/>
    <mergeCell ref="AS194:AT194"/>
    <mergeCell ref="AU194:CJ194"/>
    <mergeCell ref="CK194:CO194"/>
    <mergeCell ref="CP194:CW194"/>
    <mergeCell ref="CX194:DE194"/>
    <mergeCell ref="DF194:DM194"/>
    <mergeCell ref="DN194:DU194"/>
    <mergeCell ref="DV194:EC194"/>
    <mergeCell ref="ED194:EK194"/>
    <mergeCell ref="EL194:EQ194"/>
    <mergeCell ref="A195:B195"/>
    <mergeCell ref="C195:E195"/>
    <mergeCell ref="F195:K195"/>
    <mergeCell ref="L195:AR195"/>
    <mergeCell ref="AS195:AT195"/>
    <mergeCell ref="AU195:CJ195"/>
    <mergeCell ref="CK195:CO195"/>
    <mergeCell ref="CP195:CW195"/>
    <mergeCell ref="CX195:DE195"/>
    <mergeCell ref="DF195:DM195"/>
    <mergeCell ref="DN195:DU195"/>
    <mergeCell ref="DV195:EC195"/>
    <mergeCell ref="ED195:EK195"/>
    <mergeCell ref="EL195:EQ195"/>
    <mergeCell ref="A196:B196"/>
    <mergeCell ref="C196:E196"/>
    <mergeCell ref="F196:K196"/>
    <mergeCell ref="L196:AR196"/>
    <mergeCell ref="AS196:AT196"/>
    <mergeCell ref="AU196:CJ196"/>
    <mergeCell ref="CK196:CO196"/>
    <mergeCell ref="CP196:CW196"/>
    <mergeCell ref="CX196:DE196"/>
    <mergeCell ref="DF196:DM196"/>
    <mergeCell ref="DN196:DU196"/>
    <mergeCell ref="DV196:EC196"/>
    <mergeCell ref="ED196:EK196"/>
    <mergeCell ref="EL196:EQ196"/>
    <mergeCell ref="A197:B197"/>
    <mergeCell ref="C197:E197"/>
    <mergeCell ref="F197:K197"/>
    <mergeCell ref="L197:AR197"/>
    <mergeCell ref="AS197:AT197"/>
    <mergeCell ref="AU197:CJ197"/>
    <mergeCell ref="CK197:CO197"/>
    <mergeCell ref="CP197:CW197"/>
    <mergeCell ref="CX197:DE197"/>
    <mergeCell ref="DF197:DM197"/>
    <mergeCell ref="DN197:DU197"/>
    <mergeCell ref="DV197:EC197"/>
    <mergeCell ref="ED197:EK197"/>
    <mergeCell ref="EL197:EQ197"/>
    <mergeCell ref="A198:B198"/>
    <mergeCell ref="C198:E198"/>
    <mergeCell ref="F198:K198"/>
    <mergeCell ref="L198:AR198"/>
    <mergeCell ref="AS198:AT198"/>
    <mergeCell ref="AU198:CJ198"/>
    <mergeCell ref="CK198:CO198"/>
    <mergeCell ref="CP198:CW198"/>
    <mergeCell ref="CX198:DE198"/>
    <mergeCell ref="DF198:DM198"/>
    <mergeCell ref="DN198:DU198"/>
    <mergeCell ref="DV198:EC198"/>
    <mergeCell ref="ED198:EK198"/>
    <mergeCell ref="EL198:EQ198"/>
    <mergeCell ref="A199:B199"/>
    <mergeCell ref="C199:E199"/>
    <mergeCell ref="F199:K199"/>
    <mergeCell ref="L199:AR199"/>
    <mergeCell ref="AS199:AT199"/>
    <mergeCell ref="AU199:CJ199"/>
    <mergeCell ref="CK199:CO199"/>
    <mergeCell ref="CP199:CW199"/>
    <mergeCell ref="CX199:DE199"/>
    <mergeCell ref="DF199:DM199"/>
    <mergeCell ref="DN199:DU199"/>
    <mergeCell ref="DV199:EC199"/>
    <mergeCell ref="ED199:EK199"/>
    <mergeCell ref="EL199:EQ199"/>
    <mergeCell ref="A200:B200"/>
    <mergeCell ref="C200:E200"/>
    <mergeCell ref="F200:K200"/>
    <mergeCell ref="L200:AR200"/>
    <mergeCell ref="AS200:AT200"/>
    <mergeCell ref="AU200:CJ200"/>
    <mergeCell ref="CK200:CO200"/>
    <mergeCell ref="CP200:CW200"/>
    <mergeCell ref="CX200:DE200"/>
    <mergeCell ref="DF200:DM200"/>
    <mergeCell ref="DN200:DU200"/>
    <mergeCell ref="DV200:EC200"/>
    <mergeCell ref="ED200:EK200"/>
    <mergeCell ref="EL200:EQ200"/>
    <mergeCell ref="A201:B201"/>
    <mergeCell ref="C201:E201"/>
    <mergeCell ref="F201:K201"/>
    <mergeCell ref="L201:AR201"/>
    <mergeCell ref="AS201:AT201"/>
    <mergeCell ref="AU201:CJ201"/>
    <mergeCell ref="CK201:CO201"/>
    <mergeCell ref="CP201:CW201"/>
    <mergeCell ref="CX201:DE201"/>
    <mergeCell ref="DF201:DM201"/>
    <mergeCell ref="DN201:DU201"/>
    <mergeCell ref="DV201:EC201"/>
    <mergeCell ref="ED201:EK201"/>
    <mergeCell ref="EL201:EQ201"/>
    <mergeCell ref="A202:B202"/>
    <mergeCell ref="C202:E202"/>
    <mergeCell ref="F202:K202"/>
    <mergeCell ref="L202:AR202"/>
    <mergeCell ref="AS202:AT202"/>
    <mergeCell ref="AU202:CJ202"/>
    <mergeCell ref="CK202:CO202"/>
    <mergeCell ref="CP202:CW202"/>
    <mergeCell ref="CX202:DE202"/>
    <mergeCell ref="DF202:DM202"/>
    <mergeCell ref="DN202:DU202"/>
    <mergeCell ref="DV202:EC202"/>
    <mergeCell ref="ED202:EK202"/>
    <mergeCell ref="EL202:EQ202"/>
    <mergeCell ref="A203:B203"/>
    <mergeCell ref="C203:E203"/>
    <mergeCell ref="F203:K203"/>
    <mergeCell ref="L203:AR203"/>
    <mergeCell ref="AS203:AT203"/>
    <mergeCell ref="AU203:CJ203"/>
    <mergeCell ref="CK203:CO203"/>
    <mergeCell ref="CP203:CW203"/>
    <mergeCell ref="CX203:DE203"/>
    <mergeCell ref="DF203:DM203"/>
    <mergeCell ref="DN203:DU203"/>
    <mergeCell ref="DV203:EC203"/>
    <mergeCell ref="ED203:EK203"/>
    <mergeCell ref="EL203:EQ203"/>
    <mergeCell ref="A204:B204"/>
    <mergeCell ref="C204:E204"/>
    <mergeCell ref="F204:K204"/>
    <mergeCell ref="L204:AR204"/>
    <mergeCell ref="AS204:AT204"/>
    <mergeCell ref="AU204:CJ204"/>
    <mergeCell ref="CK204:CO204"/>
    <mergeCell ref="CP204:CW204"/>
    <mergeCell ref="CX204:DE204"/>
    <mergeCell ref="DF204:DM204"/>
    <mergeCell ref="DN204:DU204"/>
    <mergeCell ref="DV204:EC204"/>
    <mergeCell ref="ED204:EK204"/>
    <mergeCell ref="EL204:EQ204"/>
    <mergeCell ref="A205:B205"/>
    <mergeCell ref="C205:E205"/>
    <mergeCell ref="F205:K205"/>
    <mergeCell ref="L205:AR205"/>
    <mergeCell ref="AS205:AT205"/>
    <mergeCell ref="AU205:CJ205"/>
    <mergeCell ref="CK205:CO205"/>
    <mergeCell ref="CP205:CW205"/>
    <mergeCell ref="CX205:DE205"/>
    <mergeCell ref="DF205:DM205"/>
    <mergeCell ref="DN205:DU205"/>
    <mergeCell ref="DV205:EC205"/>
    <mergeCell ref="ED205:EK205"/>
    <mergeCell ref="EL205:EQ205"/>
    <mergeCell ref="A206:B206"/>
    <mergeCell ref="C206:E206"/>
    <mergeCell ref="F206:K206"/>
    <mergeCell ref="L206:AR206"/>
    <mergeCell ref="AS206:AT206"/>
    <mergeCell ref="AU206:CJ206"/>
    <mergeCell ref="CK206:CO206"/>
    <mergeCell ref="CP206:CW206"/>
    <mergeCell ref="CX206:DE206"/>
    <mergeCell ref="DF206:DM206"/>
    <mergeCell ref="DN206:DU206"/>
    <mergeCell ref="DV206:EC206"/>
    <mergeCell ref="ED206:EK206"/>
    <mergeCell ref="EL206:EQ206"/>
    <mergeCell ref="A207:B207"/>
    <mergeCell ref="C207:E207"/>
    <mergeCell ref="F207:K207"/>
    <mergeCell ref="L207:AR207"/>
    <mergeCell ref="AS207:AT207"/>
    <mergeCell ref="AU207:CJ207"/>
    <mergeCell ref="CK207:CO207"/>
    <mergeCell ref="CP207:CW207"/>
    <mergeCell ref="CX207:DE207"/>
    <mergeCell ref="DF207:DM207"/>
    <mergeCell ref="DN207:DU207"/>
    <mergeCell ref="DV207:EC207"/>
    <mergeCell ref="ED207:EK207"/>
    <mergeCell ref="EL207:EQ207"/>
    <mergeCell ref="A208:B208"/>
    <mergeCell ref="C208:E208"/>
    <mergeCell ref="F208:K208"/>
    <mergeCell ref="L208:AR208"/>
    <mergeCell ref="AS208:AT208"/>
    <mergeCell ref="AU208:CJ208"/>
    <mergeCell ref="CK208:CO208"/>
    <mergeCell ref="CP208:CW208"/>
    <mergeCell ref="CX208:DE208"/>
    <mergeCell ref="DF208:DM208"/>
    <mergeCell ref="DN208:DU208"/>
    <mergeCell ref="DV208:EC208"/>
    <mergeCell ref="ED208:EK208"/>
    <mergeCell ref="EL208:EQ208"/>
    <mergeCell ref="A209:B209"/>
    <mergeCell ref="C209:E209"/>
    <mergeCell ref="F209:K209"/>
    <mergeCell ref="L209:AR209"/>
    <mergeCell ref="AS209:AT209"/>
    <mergeCell ref="AU209:CJ209"/>
    <mergeCell ref="CK209:CO209"/>
    <mergeCell ref="CP209:CW209"/>
    <mergeCell ref="CX209:DE209"/>
    <mergeCell ref="DF209:DM209"/>
    <mergeCell ref="DN209:DU209"/>
    <mergeCell ref="DV209:EC209"/>
    <mergeCell ref="ED209:EK209"/>
    <mergeCell ref="EL209:EQ209"/>
    <mergeCell ref="A210:B210"/>
    <mergeCell ref="C210:E210"/>
    <mergeCell ref="F210:K210"/>
    <mergeCell ref="L210:AR210"/>
    <mergeCell ref="AS210:AT210"/>
    <mergeCell ref="AU210:CJ210"/>
    <mergeCell ref="CK210:CO210"/>
    <mergeCell ref="CP210:CW210"/>
    <mergeCell ref="CX210:DE210"/>
    <mergeCell ref="DF210:DM210"/>
    <mergeCell ref="DN210:DU210"/>
    <mergeCell ref="DV210:EC210"/>
    <mergeCell ref="ED210:EK210"/>
    <mergeCell ref="EL210:EQ210"/>
    <mergeCell ref="A211:B211"/>
    <mergeCell ref="C211:E211"/>
    <mergeCell ref="F211:K211"/>
    <mergeCell ref="L211:AR211"/>
    <mergeCell ref="AS211:AT211"/>
    <mergeCell ref="AU211:CJ211"/>
    <mergeCell ref="CK211:CO211"/>
    <mergeCell ref="CP211:CW211"/>
    <mergeCell ref="CX211:DE211"/>
    <mergeCell ref="DF211:DM211"/>
    <mergeCell ref="DN211:DU211"/>
    <mergeCell ref="DV211:EC211"/>
    <mergeCell ref="ED211:EK211"/>
    <mergeCell ref="EL211:EQ211"/>
    <mergeCell ref="A212:B212"/>
    <mergeCell ref="C212:E212"/>
    <mergeCell ref="F212:K212"/>
    <mergeCell ref="L212:AR212"/>
    <mergeCell ref="AS212:AT212"/>
    <mergeCell ref="AU212:CJ212"/>
    <mergeCell ref="CK212:CO212"/>
    <mergeCell ref="CP212:CW212"/>
    <mergeCell ref="CX212:DE212"/>
    <mergeCell ref="DF212:DM212"/>
    <mergeCell ref="DN212:DU212"/>
    <mergeCell ref="DV212:EC212"/>
    <mergeCell ref="ED212:EK212"/>
    <mergeCell ref="EL212:EQ212"/>
    <mergeCell ref="A213:B213"/>
    <mergeCell ref="C213:E213"/>
    <mergeCell ref="F213:K213"/>
    <mergeCell ref="L213:AR213"/>
    <mergeCell ref="AS213:AT213"/>
    <mergeCell ref="AU213:CJ213"/>
    <mergeCell ref="CK213:CO213"/>
    <mergeCell ref="CP213:CW213"/>
    <mergeCell ref="CX213:DE213"/>
    <mergeCell ref="DF213:DM213"/>
    <mergeCell ref="DN213:DU213"/>
    <mergeCell ref="DV213:EC213"/>
    <mergeCell ref="ED213:EK213"/>
    <mergeCell ref="EL213:EQ213"/>
    <mergeCell ref="A214:B214"/>
    <mergeCell ref="C214:E214"/>
    <mergeCell ref="F214:K214"/>
    <mergeCell ref="L214:AR214"/>
    <mergeCell ref="AS214:AT214"/>
    <mergeCell ref="AU214:CJ214"/>
    <mergeCell ref="CK214:CO214"/>
    <mergeCell ref="CP214:CW214"/>
    <mergeCell ref="CX214:DE214"/>
    <mergeCell ref="DF214:DM214"/>
    <mergeCell ref="DN214:DU214"/>
    <mergeCell ref="DV214:EC214"/>
    <mergeCell ref="ED214:EK214"/>
    <mergeCell ref="EL214:EQ214"/>
    <mergeCell ref="A215:B215"/>
    <mergeCell ref="C215:E215"/>
    <mergeCell ref="F215:K215"/>
    <mergeCell ref="L215:AR215"/>
    <mergeCell ref="AS215:AT215"/>
    <mergeCell ref="AU215:CJ215"/>
    <mergeCell ref="CK215:CO215"/>
    <mergeCell ref="CP215:CW215"/>
    <mergeCell ref="CX215:DE215"/>
    <mergeCell ref="DF215:DM215"/>
    <mergeCell ref="DN215:DU215"/>
    <mergeCell ref="DV215:EC215"/>
    <mergeCell ref="ED215:EK215"/>
    <mergeCell ref="EL215:EQ215"/>
    <mergeCell ref="A216:B216"/>
    <mergeCell ref="C216:E216"/>
    <mergeCell ref="F216:K216"/>
    <mergeCell ref="L216:AR216"/>
    <mergeCell ref="AS216:AT216"/>
    <mergeCell ref="AU216:CJ216"/>
    <mergeCell ref="CK216:CO216"/>
    <mergeCell ref="CP216:CW216"/>
    <mergeCell ref="CX216:DE216"/>
    <mergeCell ref="DF216:DM216"/>
    <mergeCell ref="DN216:DU216"/>
    <mergeCell ref="DV216:EC216"/>
    <mergeCell ref="ED216:EK216"/>
    <mergeCell ref="EL216:EQ216"/>
    <mergeCell ref="A217:B217"/>
    <mergeCell ref="C217:E217"/>
    <mergeCell ref="F217:K217"/>
    <mergeCell ref="L217:AR217"/>
    <mergeCell ref="AS217:AT217"/>
    <mergeCell ref="AU217:CJ217"/>
    <mergeCell ref="CK217:CO217"/>
    <mergeCell ref="CP217:CW217"/>
    <mergeCell ref="CX217:DE217"/>
    <mergeCell ref="DF217:DM217"/>
    <mergeCell ref="DN217:DU217"/>
    <mergeCell ref="DV217:EC217"/>
    <mergeCell ref="ED217:EK217"/>
    <mergeCell ref="EL217:EQ217"/>
    <mergeCell ref="A218:B218"/>
    <mergeCell ref="C218:E218"/>
    <mergeCell ref="F218:K218"/>
    <mergeCell ref="L218:AR218"/>
    <mergeCell ref="AS218:AT218"/>
    <mergeCell ref="AU218:CJ218"/>
    <mergeCell ref="CK218:CO218"/>
    <mergeCell ref="CP218:CW218"/>
    <mergeCell ref="CX218:DE218"/>
    <mergeCell ref="DF218:DM218"/>
    <mergeCell ref="DN218:DU218"/>
    <mergeCell ref="DV218:EC218"/>
    <mergeCell ref="ED218:EK218"/>
    <mergeCell ref="EL218:EQ218"/>
    <mergeCell ref="A219:B219"/>
    <mergeCell ref="C219:E219"/>
    <mergeCell ref="F219:K219"/>
    <mergeCell ref="L219:AR219"/>
    <mergeCell ref="AS219:AT219"/>
    <mergeCell ref="AU219:CJ219"/>
    <mergeCell ref="CK219:CO219"/>
    <mergeCell ref="CP219:CW219"/>
    <mergeCell ref="CX219:DE219"/>
    <mergeCell ref="DF219:DM219"/>
    <mergeCell ref="DN219:DU219"/>
    <mergeCell ref="DV219:EC219"/>
    <mergeCell ref="ED219:EK219"/>
    <mergeCell ref="EL219:EQ219"/>
    <mergeCell ref="A220:B220"/>
    <mergeCell ref="C220:E220"/>
    <mergeCell ref="F220:K220"/>
    <mergeCell ref="L220:AR220"/>
    <mergeCell ref="AS220:AT220"/>
    <mergeCell ref="AU220:CJ220"/>
    <mergeCell ref="CK220:CO220"/>
    <mergeCell ref="CP220:CW220"/>
    <mergeCell ref="CX220:DE220"/>
    <mergeCell ref="DF220:DM220"/>
    <mergeCell ref="DN220:DU220"/>
    <mergeCell ref="DV220:EC220"/>
    <mergeCell ref="ED220:EK220"/>
    <mergeCell ref="EL220:EQ220"/>
    <mergeCell ref="A221:B221"/>
    <mergeCell ref="C221:E221"/>
    <mergeCell ref="F221:K221"/>
    <mergeCell ref="L221:AR221"/>
    <mergeCell ref="AS221:AT221"/>
    <mergeCell ref="AU221:CJ221"/>
    <mergeCell ref="CK221:CO221"/>
    <mergeCell ref="CP221:CW221"/>
    <mergeCell ref="CX221:DE221"/>
    <mergeCell ref="DF221:DM221"/>
    <mergeCell ref="DN221:DU221"/>
    <mergeCell ref="DV221:EC221"/>
    <mergeCell ref="ED221:EK221"/>
    <mergeCell ref="EL221:EQ221"/>
    <mergeCell ref="A222:B222"/>
    <mergeCell ref="C222:E222"/>
    <mergeCell ref="F222:K222"/>
    <mergeCell ref="L222:AR222"/>
    <mergeCell ref="AS222:AT222"/>
    <mergeCell ref="AU222:CJ222"/>
    <mergeCell ref="CK222:CO222"/>
    <mergeCell ref="CP222:CW222"/>
    <mergeCell ref="CX222:DE222"/>
    <mergeCell ref="DF222:DM222"/>
    <mergeCell ref="DN222:DU222"/>
    <mergeCell ref="DV222:EC222"/>
    <mergeCell ref="ED222:EK222"/>
    <mergeCell ref="EL222:EQ222"/>
    <mergeCell ref="A223:B223"/>
    <mergeCell ref="C223:E223"/>
    <mergeCell ref="F223:K223"/>
    <mergeCell ref="L223:AR223"/>
    <mergeCell ref="AS223:AT223"/>
    <mergeCell ref="AU223:CJ223"/>
    <mergeCell ref="CK223:CO223"/>
    <mergeCell ref="CP223:CW223"/>
    <mergeCell ref="CX223:DE223"/>
    <mergeCell ref="DF223:DM223"/>
    <mergeCell ref="DN223:DU223"/>
    <mergeCell ref="DV223:EC223"/>
    <mergeCell ref="ED223:EK223"/>
    <mergeCell ref="EL223:EQ223"/>
    <mergeCell ref="A224:B224"/>
    <mergeCell ref="C224:E224"/>
    <mergeCell ref="F224:K224"/>
    <mergeCell ref="L224:AR224"/>
    <mergeCell ref="AS224:AT224"/>
    <mergeCell ref="AU224:CJ224"/>
    <mergeCell ref="CK224:CO224"/>
    <mergeCell ref="CP224:CW224"/>
    <mergeCell ref="CX224:DE224"/>
    <mergeCell ref="DF224:DM224"/>
    <mergeCell ref="DN224:DU224"/>
    <mergeCell ref="DV224:EC224"/>
    <mergeCell ref="ED224:EK224"/>
    <mergeCell ref="EL224:EQ224"/>
    <mergeCell ref="A225:B225"/>
    <mergeCell ref="C225:E225"/>
    <mergeCell ref="F225:K225"/>
    <mergeCell ref="L225:AR225"/>
    <mergeCell ref="AS225:AT225"/>
    <mergeCell ref="AU225:CJ225"/>
    <mergeCell ref="CK225:CO225"/>
    <mergeCell ref="CP225:CW225"/>
    <mergeCell ref="CX225:DE225"/>
    <mergeCell ref="DF225:DM225"/>
    <mergeCell ref="DN225:DU225"/>
    <mergeCell ref="DV225:EC225"/>
    <mergeCell ref="ED225:EK225"/>
    <mergeCell ref="EL225:EQ225"/>
    <mergeCell ref="DN226:DU226"/>
    <mergeCell ref="DV226:EC226"/>
    <mergeCell ref="A226:B226"/>
    <mergeCell ref="C226:E226"/>
    <mergeCell ref="F226:K226"/>
    <mergeCell ref="L226:AR226"/>
    <mergeCell ref="AS226:AT226"/>
    <mergeCell ref="AU226:CJ226"/>
    <mergeCell ref="CK227:CO227"/>
    <mergeCell ref="CP227:CW227"/>
    <mergeCell ref="CK226:CO226"/>
    <mergeCell ref="CP226:CW226"/>
    <mergeCell ref="CX226:DE226"/>
    <mergeCell ref="DF226:DM226"/>
    <mergeCell ref="ED227:EK227"/>
    <mergeCell ref="EL227:EQ227"/>
    <mergeCell ref="ED226:EK226"/>
    <mergeCell ref="EL226:EQ226"/>
    <mergeCell ref="A227:B227"/>
    <mergeCell ref="C227:E227"/>
    <mergeCell ref="F227:K227"/>
    <mergeCell ref="L227:AR227"/>
    <mergeCell ref="AS227:AT227"/>
    <mergeCell ref="AU227:CJ227"/>
    <mergeCell ref="DF229:DM229"/>
    <mergeCell ref="DN229:DU229"/>
    <mergeCell ref="CX227:DE227"/>
    <mergeCell ref="DF227:DM227"/>
    <mergeCell ref="DN227:DU227"/>
    <mergeCell ref="DV227:EC227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19" t="s">
        <v>748</v>
      </c>
      <c r="B1" s="120"/>
      <c r="C1" s="120"/>
      <c r="D1" s="120"/>
      <c r="E1" s="120"/>
      <c r="F1" s="120"/>
      <c r="G1" s="120"/>
    </row>
    <row r="2" spans="1:8" ht="12.75">
      <c r="A2" s="121" t="s">
        <v>0</v>
      </c>
      <c r="B2" s="123" t="str">
        <f>'Výkaz výměr'!D2</f>
        <v>Rekonstrukce inženýrských sítí v ulici Dvořákova</v>
      </c>
      <c r="C2" s="148"/>
      <c r="D2" s="126" t="s">
        <v>542</v>
      </c>
      <c r="E2" s="126" t="str">
        <f>'Výkaz výměr'!I2</f>
        <v>Město Pelhřimov</v>
      </c>
      <c r="F2" s="122"/>
      <c r="G2" s="127"/>
      <c r="H2" s="31"/>
    </row>
    <row r="3" spans="1:8" ht="12.75">
      <c r="A3" s="118"/>
      <c r="B3" s="124"/>
      <c r="C3" s="124"/>
      <c r="D3" s="111"/>
      <c r="E3" s="111"/>
      <c r="F3" s="111"/>
      <c r="G3" s="116"/>
      <c r="H3" s="31"/>
    </row>
    <row r="4" spans="1:8" ht="12.75">
      <c r="A4" s="112" t="s">
        <v>1</v>
      </c>
      <c r="B4" s="110" t="str">
        <f>'Výkaz výměr'!D4</f>
        <v> </v>
      </c>
      <c r="C4" s="111"/>
      <c r="D4" s="110" t="s">
        <v>543</v>
      </c>
      <c r="E4" s="110" t="str">
        <f>'Výkaz výměr'!I4</f>
        <v>Realizace a projekce staveb s.r.o.</v>
      </c>
      <c r="F4" s="111"/>
      <c r="G4" s="116"/>
      <c r="H4" s="31"/>
    </row>
    <row r="5" spans="1:8" ht="12.75">
      <c r="A5" s="118"/>
      <c r="B5" s="111"/>
      <c r="C5" s="111"/>
      <c r="D5" s="111"/>
      <c r="E5" s="111"/>
      <c r="F5" s="111"/>
      <c r="G5" s="116"/>
      <c r="H5" s="31"/>
    </row>
    <row r="6" spans="1:8" ht="12.75">
      <c r="A6" s="112" t="s">
        <v>2</v>
      </c>
      <c r="B6" s="110" t="str">
        <f>'Výkaz výměr'!D6</f>
        <v>Pelhřimov</v>
      </c>
      <c r="C6" s="111"/>
      <c r="D6" s="110" t="s">
        <v>544</v>
      </c>
      <c r="E6" s="110" t="str">
        <f>'Výkaz výměr'!I6</f>
        <v> </v>
      </c>
      <c r="F6" s="111"/>
      <c r="G6" s="116"/>
      <c r="H6" s="31"/>
    </row>
    <row r="7" spans="1:8" ht="12.75">
      <c r="A7" s="118"/>
      <c r="B7" s="111"/>
      <c r="C7" s="111"/>
      <c r="D7" s="111"/>
      <c r="E7" s="111"/>
      <c r="F7" s="111"/>
      <c r="G7" s="116"/>
      <c r="H7" s="31"/>
    </row>
    <row r="8" spans="1:8" ht="12.75">
      <c r="A8" s="112" t="s">
        <v>545</v>
      </c>
      <c r="B8" s="110" t="str">
        <f>'Výkaz výměr'!I8</f>
        <v> </v>
      </c>
      <c r="C8" s="111"/>
      <c r="D8" s="115" t="s">
        <v>524</v>
      </c>
      <c r="E8" s="110" t="str">
        <f>'Výkaz výměr'!G8</f>
        <v>10.09.2019</v>
      </c>
      <c r="F8" s="111"/>
      <c r="G8" s="116"/>
      <c r="H8" s="31"/>
    </row>
    <row r="9" spans="1:8" ht="12.75">
      <c r="A9" s="113"/>
      <c r="B9" s="114"/>
      <c r="C9" s="114"/>
      <c r="D9" s="114"/>
      <c r="E9" s="114"/>
      <c r="F9" s="114"/>
      <c r="G9" s="117"/>
      <c r="H9" s="31"/>
    </row>
    <row r="10" spans="1:8" ht="12.75">
      <c r="A10" s="44" t="s">
        <v>197</v>
      </c>
      <c r="B10" s="46" t="s">
        <v>201</v>
      </c>
      <c r="C10" s="47" t="s">
        <v>749</v>
      </c>
      <c r="D10" s="48" t="s">
        <v>750</v>
      </c>
      <c r="E10" s="48" t="s">
        <v>751</v>
      </c>
      <c r="F10" s="48" t="s">
        <v>752</v>
      </c>
      <c r="G10" s="49" t="s">
        <v>753</v>
      </c>
      <c r="H10" s="32"/>
    </row>
    <row r="11" spans="1:9" ht="12.75">
      <c r="A11" s="45" t="s">
        <v>198</v>
      </c>
      <c r="B11" s="45"/>
      <c r="C11" s="45" t="s">
        <v>346</v>
      </c>
      <c r="D11" s="50">
        <f>'Výkaz výměr'!H12</f>
        <v>0</v>
      </c>
      <c r="E11" s="50">
        <f>'Výkaz výměr'!I12</f>
        <v>0</v>
      </c>
      <c r="F11" s="50">
        <f>'Výkaz výměr'!J12</f>
        <v>0</v>
      </c>
      <c r="G11" s="50">
        <f>'Výkaz výměr'!M12</f>
        <v>2243.61854252</v>
      </c>
      <c r="H11" s="33" t="s">
        <v>754</v>
      </c>
      <c r="I11" s="33">
        <f aca="true" t="shared" si="0" ref="I11:I33">IF(H11="F",0,F11)</f>
        <v>0</v>
      </c>
    </row>
    <row r="12" spans="1:9" ht="12.75">
      <c r="A12" s="15" t="s">
        <v>198</v>
      </c>
      <c r="B12" s="15" t="s">
        <v>6</v>
      </c>
      <c r="C12" s="15" t="s">
        <v>347</v>
      </c>
      <c r="D12" s="33">
        <f>'Výkaz výměr'!H13</f>
        <v>0</v>
      </c>
      <c r="E12" s="33">
        <f>'Výkaz výměr'!I13</f>
        <v>0</v>
      </c>
      <c r="F12" s="33">
        <f>'Výkaz výměr'!J13</f>
        <v>0</v>
      </c>
      <c r="G12" s="33">
        <f>'Výkaz výměr'!M13</f>
        <v>0</v>
      </c>
      <c r="H12" s="33" t="s">
        <v>755</v>
      </c>
      <c r="I12" s="33">
        <f t="shared" si="0"/>
        <v>0</v>
      </c>
    </row>
    <row r="13" spans="1:9" ht="12.75">
      <c r="A13" s="15" t="s">
        <v>198</v>
      </c>
      <c r="B13" s="15" t="s">
        <v>7</v>
      </c>
      <c r="C13" s="15" t="s">
        <v>352</v>
      </c>
      <c r="D13" s="33">
        <f>'Výkaz výměr'!H18</f>
        <v>0</v>
      </c>
      <c r="E13" s="33">
        <f>'Výkaz výměr'!I18</f>
        <v>0</v>
      </c>
      <c r="F13" s="33">
        <f>'Výkaz výměr'!J18</f>
        <v>0</v>
      </c>
      <c r="G13" s="33">
        <f>'Výkaz výměr'!M18</f>
        <v>0.38356</v>
      </c>
      <c r="H13" s="33" t="s">
        <v>755</v>
      </c>
      <c r="I13" s="33">
        <f t="shared" si="0"/>
        <v>0</v>
      </c>
    </row>
    <row r="14" spans="1:9" ht="12.75">
      <c r="A14" s="15" t="s">
        <v>198</v>
      </c>
      <c r="B14" s="15" t="s">
        <v>92</v>
      </c>
      <c r="C14" s="15" t="s">
        <v>355</v>
      </c>
      <c r="D14" s="33">
        <f>'Výkaz výměr'!H21</f>
        <v>0</v>
      </c>
      <c r="E14" s="33">
        <f>'Výkaz výměr'!I21</f>
        <v>0</v>
      </c>
      <c r="F14" s="33">
        <f>'Výkaz výměr'!J21</f>
        <v>0</v>
      </c>
      <c r="G14" s="33">
        <f>'Výkaz výměr'!M21</f>
        <v>1417.10485</v>
      </c>
      <c r="H14" s="33" t="s">
        <v>755</v>
      </c>
      <c r="I14" s="33">
        <f t="shared" si="0"/>
        <v>0</v>
      </c>
    </row>
    <row r="15" spans="1:9" ht="12.75">
      <c r="A15" s="15" t="s">
        <v>198</v>
      </c>
      <c r="B15" s="15" t="s">
        <v>8</v>
      </c>
      <c r="C15" s="15" t="s">
        <v>387</v>
      </c>
      <c r="D15" s="33">
        <f>'Výkaz výměr'!H53</f>
        <v>0</v>
      </c>
      <c r="E15" s="33">
        <f>'Výkaz výměr'!I53</f>
        <v>0</v>
      </c>
      <c r="F15" s="33">
        <f>'Výkaz výměr'!J53</f>
        <v>0</v>
      </c>
      <c r="G15" s="33">
        <f>'Výkaz výměr'!M53</f>
        <v>581.7661265199998</v>
      </c>
      <c r="H15" s="33" t="s">
        <v>755</v>
      </c>
      <c r="I15" s="33">
        <f t="shared" si="0"/>
        <v>0</v>
      </c>
    </row>
    <row r="16" spans="1:9" ht="12.75">
      <c r="A16" s="15" t="s">
        <v>198</v>
      </c>
      <c r="B16" s="15" t="s">
        <v>88</v>
      </c>
      <c r="C16" s="15" t="s">
        <v>427</v>
      </c>
      <c r="D16" s="33">
        <f>'Výkaz výměr'!H93</f>
        <v>0</v>
      </c>
      <c r="E16" s="33">
        <f>'Výkaz výměr'!I93</f>
        <v>0</v>
      </c>
      <c r="F16" s="33">
        <f>'Výkaz výměr'!J93</f>
        <v>0</v>
      </c>
      <c r="G16" s="33">
        <f>'Výkaz výměr'!M93</f>
        <v>244.36400600000002</v>
      </c>
      <c r="H16" s="33" t="s">
        <v>755</v>
      </c>
      <c r="I16" s="33">
        <f t="shared" si="0"/>
        <v>0</v>
      </c>
    </row>
    <row r="17" spans="1:9" ht="12.75">
      <c r="A17" s="15" t="s">
        <v>198</v>
      </c>
      <c r="B17" s="15" t="s">
        <v>282</v>
      </c>
      <c r="C17" s="15" t="s">
        <v>438</v>
      </c>
      <c r="D17" s="33">
        <f>'Výkaz výměr'!H111</f>
        <v>0</v>
      </c>
      <c r="E17" s="33">
        <f>'Výkaz výměr'!I111</f>
        <v>0</v>
      </c>
      <c r="F17" s="33">
        <f>'Výkaz výměr'!J111</f>
        <v>0</v>
      </c>
      <c r="G17" s="33">
        <f>'Výkaz výměr'!M111</f>
        <v>0</v>
      </c>
      <c r="H17" s="33" t="s">
        <v>755</v>
      </c>
      <c r="I17" s="33">
        <f t="shared" si="0"/>
        <v>0</v>
      </c>
    </row>
    <row r="18" spans="1:9" ht="12.75">
      <c r="A18" s="15" t="s">
        <v>198</v>
      </c>
      <c r="B18" s="15"/>
      <c r="C18" s="15" t="s">
        <v>440</v>
      </c>
      <c r="D18" s="33">
        <f>'Výkaz výměr'!H113</f>
        <v>0</v>
      </c>
      <c r="E18" s="33">
        <f>'Výkaz výměr'!I113</f>
        <v>0</v>
      </c>
      <c r="F18" s="33">
        <f>'Výkaz výměr'!J113</f>
        <v>0</v>
      </c>
      <c r="G18" s="33">
        <f>'Výkaz výměr'!M113</f>
        <v>0</v>
      </c>
      <c r="H18" s="33" t="s">
        <v>755</v>
      </c>
      <c r="I18" s="33">
        <f t="shared" si="0"/>
        <v>0</v>
      </c>
    </row>
    <row r="19" spans="1:9" ht="12.75">
      <c r="A19" s="15" t="s">
        <v>199</v>
      </c>
      <c r="B19" s="15"/>
      <c r="C19" s="15" t="s">
        <v>442</v>
      </c>
      <c r="D19" s="33">
        <f>'Výkaz výměr'!H115</f>
        <v>0</v>
      </c>
      <c r="E19" s="33">
        <f>'Výkaz výměr'!I115</f>
        <v>0</v>
      </c>
      <c r="F19" s="33">
        <f>'Výkaz výměr'!J115</f>
        <v>0</v>
      </c>
      <c r="G19" s="33">
        <f>'Výkaz výměr'!M115</f>
        <v>3389.2377226</v>
      </c>
      <c r="H19" s="33" t="s">
        <v>754</v>
      </c>
      <c r="I19" s="33">
        <f t="shared" si="0"/>
        <v>0</v>
      </c>
    </row>
    <row r="20" spans="1:9" ht="12.75">
      <c r="A20" s="15" t="s">
        <v>199</v>
      </c>
      <c r="B20" s="15" t="s">
        <v>6</v>
      </c>
      <c r="C20" s="15" t="s">
        <v>347</v>
      </c>
      <c r="D20" s="33">
        <f>'Výkaz výměr'!H116</f>
        <v>0</v>
      </c>
      <c r="E20" s="33">
        <f>'Výkaz výměr'!I116</f>
        <v>0</v>
      </c>
      <c r="F20" s="33">
        <f>'Výkaz výměr'!J116</f>
        <v>0</v>
      </c>
      <c r="G20" s="33">
        <f>'Výkaz výměr'!M116</f>
        <v>0</v>
      </c>
      <c r="H20" s="33" t="s">
        <v>755</v>
      </c>
      <c r="I20" s="33">
        <f t="shared" si="0"/>
        <v>0</v>
      </c>
    </row>
    <row r="21" spans="1:9" ht="12.75">
      <c r="A21" s="15" t="s">
        <v>199</v>
      </c>
      <c r="B21" s="15" t="s">
        <v>7</v>
      </c>
      <c r="C21" s="15" t="s">
        <v>352</v>
      </c>
      <c r="D21" s="33">
        <f>'Výkaz výměr'!H119</f>
        <v>0</v>
      </c>
      <c r="E21" s="33">
        <f>'Výkaz výměr'!I119</f>
        <v>0</v>
      </c>
      <c r="F21" s="33">
        <f>'Výkaz výměr'!J119</f>
        <v>0</v>
      </c>
      <c r="G21" s="33">
        <f>'Výkaz výměr'!M119</f>
        <v>0.8972809999999999</v>
      </c>
      <c r="H21" s="33" t="s">
        <v>755</v>
      </c>
      <c r="I21" s="33">
        <f t="shared" si="0"/>
        <v>0</v>
      </c>
    </row>
    <row r="22" spans="1:9" ht="12.75">
      <c r="A22" s="15" t="s">
        <v>199</v>
      </c>
      <c r="B22" s="15" t="s">
        <v>92</v>
      </c>
      <c r="C22" s="15" t="s">
        <v>355</v>
      </c>
      <c r="D22" s="33">
        <f>'Výkaz výměr'!H122</f>
        <v>0</v>
      </c>
      <c r="E22" s="33">
        <f>'Výkaz výměr'!I122</f>
        <v>0</v>
      </c>
      <c r="F22" s="33">
        <f>'Výkaz výměr'!J122</f>
        <v>0</v>
      </c>
      <c r="G22" s="33">
        <f>'Výkaz výměr'!M122</f>
        <v>1418.3184485000002</v>
      </c>
      <c r="H22" s="33" t="s">
        <v>755</v>
      </c>
      <c r="I22" s="33">
        <f t="shared" si="0"/>
        <v>0</v>
      </c>
    </row>
    <row r="23" spans="1:9" ht="12.75">
      <c r="A23" s="15" t="s">
        <v>199</v>
      </c>
      <c r="B23" s="15" t="s">
        <v>8</v>
      </c>
      <c r="C23" s="15" t="s">
        <v>387</v>
      </c>
      <c r="D23" s="33">
        <f>'Výkaz výměr'!H154</f>
        <v>0</v>
      </c>
      <c r="E23" s="33">
        <f>'Výkaz výměr'!I154</f>
        <v>0</v>
      </c>
      <c r="F23" s="33">
        <f>'Výkaz výměr'!J154</f>
        <v>0</v>
      </c>
      <c r="G23" s="33">
        <f>'Výkaz výměr'!M154</f>
        <v>1326.0825570999998</v>
      </c>
      <c r="H23" s="33" t="s">
        <v>755</v>
      </c>
      <c r="I23" s="33">
        <f t="shared" si="0"/>
        <v>0</v>
      </c>
    </row>
    <row r="24" spans="1:9" ht="12.75">
      <c r="A24" s="15" t="s">
        <v>199</v>
      </c>
      <c r="B24" s="15" t="s">
        <v>27</v>
      </c>
      <c r="C24" s="15" t="s">
        <v>473</v>
      </c>
      <c r="D24" s="33">
        <f>'Výkaz výměr'!H190</f>
        <v>0</v>
      </c>
      <c r="E24" s="33">
        <f>'Výkaz výměr'!I190</f>
        <v>0</v>
      </c>
      <c r="F24" s="33">
        <f>'Výkaz výměr'!J190</f>
        <v>0</v>
      </c>
      <c r="G24" s="33">
        <f>'Výkaz výměr'!M190</f>
        <v>46.30739</v>
      </c>
      <c r="H24" s="33" t="s">
        <v>755</v>
      </c>
      <c r="I24" s="33">
        <f t="shared" si="0"/>
        <v>0</v>
      </c>
    </row>
    <row r="25" spans="1:9" ht="12.75">
      <c r="A25" s="15" t="s">
        <v>199</v>
      </c>
      <c r="B25" s="15" t="s">
        <v>94</v>
      </c>
      <c r="C25" s="15" t="s">
        <v>484</v>
      </c>
      <c r="D25" s="33">
        <f>'Výkaz výměr'!H201</f>
        <v>0</v>
      </c>
      <c r="E25" s="33">
        <f>'Výkaz výměr'!I201</f>
        <v>0</v>
      </c>
      <c r="F25" s="33">
        <f>'Výkaz výměr'!J201</f>
        <v>0</v>
      </c>
      <c r="G25" s="33">
        <f>'Výkaz výměr'!M201</f>
        <v>597.632046</v>
      </c>
      <c r="H25" s="33" t="s">
        <v>755</v>
      </c>
      <c r="I25" s="33">
        <f t="shared" si="0"/>
        <v>0</v>
      </c>
    </row>
    <row r="26" spans="1:9" ht="12.75">
      <c r="A26" s="15" t="s">
        <v>199</v>
      </c>
      <c r="B26" s="15" t="s">
        <v>282</v>
      </c>
      <c r="C26" s="15" t="s">
        <v>438</v>
      </c>
      <c r="D26" s="33">
        <f>'Výkaz výměr'!H215</f>
        <v>0</v>
      </c>
      <c r="E26" s="33">
        <f>'Výkaz výměr'!I215</f>
        <v>0</v>
      </c>
      <c r="F26" s="33">
        <f>'Výkaz výměr'!J215</f>
        <v>0</v>
      </c>
      <c r="G26" s="33">
        <f>'Výkaz výměr'!M215</f>
        <v>0</v>
      </c>
      <c r="H26" s="33" t="s">
        <v>755</v>
      </c>
      <c r="I26" s="33">
        <f t="shared" si="0"/>
        <v>0</v>
      </c>
    </row>
    <row r="27" spans="1:9" ht="12.75">
      <c r="A27" s="15" t="s">
        <v>200</v>
      </c>
      <c r="B27" s="15"/>
      <c r="C27" s="15" t="s">
        <v>491</v>
      </c>
      <c r="D27" s="33">
        <f>'Výkaz výměr'!H217</f>
        <v>0</v>
      </c>
      <c r="E27" s="33">
        <f>'Výkaz výměr'!I217</f>
        <v>0</v>
      </c>
      <c r="F27" s="33">
        <f>'Výkaz výměr'!J217</f>
        <v>0</v>
      </c>
      <c r="G27" s="33">
        <f>'Výkaz výměr'!M217</f>
        <v>3871.98409</v>
      </c>
      <c r="H27" s="33" t="s">
        <v>754</v>
      </c>
      <c r="I27" s="33">
        <f t="shared" si="0"/>
        <v>0</v>
      </c>
    </row>
    <row r="28" spans="1:9" ht="12.75">
      <c r="A28" s="15" t="s">
        <v>200</v>
      </c>
      <c r="B28" s="15" t="s">
        <v>23</v>
      </c>
      <c r="C28" s="15" t="s">
        <v>492</v>
      </c>
      <c r="D28" s="33">
        <f>'Výkaz výměr'!H218</f>
        <v>0</v>
      </c>
      <c r="E28" s="33">
        <f>'Výkaz výměr'!I218</f>
        <v>0</v>
      </c>
      <c r="F28" s="33">
        <f>'Výkaz výměr'!J218</f>
        <v>0</v>
      </c>
      <c r="G28" s="33">
        <f>'Výkaz výměr'!M218</f>
        <v>0</v>
      </c>
      <c r="H28" s="33" t="s">
        <v>755</v>
      </c>
      <c r="I28" s="33">
        <f t="shared" si="0"/>
        <v>0</v>
      </c>
    </row>
    <row r="29" spans="1:9" ht="12.75">
      <c r="A29" s="15" t="s">
        <v>200</v>
      </c>
      <c r="B29" s="15" t="s">
        <v>26</v>
      </c>
      <c r="C29" s="15" t="s">
        <v>494</v>
      </c>
      <c r="D29" s="33">
        <f>'Výkaz výměr'!H220</f>
        <v>0</v>
      </c>
      <c r="E29" s="33">
        <f>'Výkaz výměr'!I220</f>
        <v>0</v>
      </c>
      <c r="F29" s="33">
        <f>'Výkaz výměr'!J220</f>
        <v>0</v>
      </c>
      <c r="G29" s="33">
        <f>'Výkaz výměr'!M220</f>
        <v>285.91405000000003</v>
      </c>
      <c r="H29" s="33" t="s">
        <v>755</v>
      </c>
      <c r="I29" s="33">
        <f t="shared" si="0"/>
        <v>0</v>
      </c>
    </row>
    <row r="30" spans="1:9" ht="12.75">
      <c r="A30" s="15" t="s">
        <v>200</v>
      </c>
      <c r="B30" s="15" t="s">
        <v>61</v>
      </c>
      <c r="C30" s="15" t="s">
        <v>498</v>
      </c>
      <c r="D30" s="33">
        <f>'Výkaz výměr'!H224</f>
        <v>0</v>
      </c>
      <c r="E30" s="33">
        <f>'Výkaz výměr'!I224</f>
        <v>0</v>
      </c>
      <c r="F30" s="33">
        <f>'Výkaz výměr'!J224</f>
        <v>0</v>
      </c>
      <c r="G30" s="33">
        <f>'Výkaz výměr'!M224</f>
        <v>2340.84314</v>
      </c>
      <c r="H30" s="33" t="s">
        <v>755</v>
      </c>
      <c r="I30" s="33">
        <f t="shared" si="0"/>
        <v>0</v>
      </c>
    </row>
    <row r="31" spans="1:9" ht="12.75">
      <c r="A31" s="15" t="s">
        <v>200</v>
      </c>
      <c r="B31" s="15" t="s">
        <v>64</v>
      </c>
      <c r="C31" s="15" t="s">
        <v>508</v>
      </c>
      <c r="D31" s="33">
        <f>'Výkaz výměr'!H235</f>
        <v>0</v>
      </c>
      <c r="E31" s="33">
        <f>'Výkaz výměr'!I235</f>
        <v>0</v>
      </c>
      <c r="F31" s="33">
        <f>'Výkaz výměr'!J235</f>
        <v>0</v>
      </c>
      <c r="G31" s="33">
        <f>'Výkaz výměr'!M235</f>
        <v>1245.2269000000001</v>
      </c>
      <c r="H31" s="33" t="s">
        <v>755</v>
      </c>
      <c r="I31" s="33">
        <f t="shared" si="0"/>
        <v>0</v>
      </c>
    </row>
    <row r="32" spans="1:9" ht="12.75">
      <c r="A32" s="15" t="s">
        <v>200</v>
      </c>
      <c r="B32" s="15" t="s">
        <v>336</v>
      </c>
      <c r="C32" s="15" t="s">
        <v>514</v>
      </c>
      <c r="D32" s="33">
        <f>'Výkaz výměr'!H242</f>
        <v>0</v>
      </c>
      <c r="E32" s="33">
        <f>'Výkaz výměr'!I242</f>
        <v>0</v>
      </c>
      <c r="F32" s="33">
        <f>'Výkaz výměr'!J242</f>
        <v>0</v>
      </c>
      <c r="G32" s="33">
        <f>'Výkaz výměr'!M242</f>
        <v>0</v>
      </c>
      <c r="H32" s="33" t="s">
        <v>755</v>
      </c>
      <c r="I32" s="33">
        <f t="shared" si="0"/>
        <v>0</v>
      </c>
    </row>
    <row r="33" spans="1:9" ht="12.75">
      <c r="A33" s="15" t="s">
        <v>200</v>
      </c>
      <c r="B33" s="15"/>
      <c r="C33" s="15" t="s">
        <v>440</v>
      </c>
      <c r="D33" s="33">
        <f>'Výkaz výměr'!H244</f>
        <v>0</v>
      </c>
      <c r="E33" s="33">
        <f>'Výkaz výměr'!I244</f>
        <v>0</v>
      </c>
      <c r="F33" s="33">
        <f>'Výkaz výměr'!J244</f>
        <v>0</v>
      </c>
      <c r="G33" s="33">
        <f>'Výkaz výměr'!M244</f>
        <v>0</v>
      </c>
      <c r="H33" s="33" t="s">
        <v>755</v>
      </c>
      <c r="I33" s="33">
        <f t="shared" si="0"/>
        <v>0</v>
      </c>
    </row>
    <row r="35" spans="5:6" ht="12.75">
      <c r="E35" s="40" t="s">
        <v>548</v>
      </c>
      <c r="F35" s="41">
        <f>ROUND(SUM(I11:I33),0)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119" t="s">
        <v>756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ht="12.75">
      <c r="A2" s="121" t="s">
        <v>0</v>
      </c>
      <c r="B2" s="123" t="str">
        <f>'Výkaz výměr'!D2</f>
        <v>Rekonstrukce inženýrských sítí v ulici Dvořákova</v>
      </c>
      <c r="C2" s="148"/>
      <c r="D2" s="148"/>
      <c r="E2" s="125" t="s">
        <v>521</v>
      </c>
      <c r="F2" s="126" t="str">
        <f>'Výkaz výměr'!G2</f>
        <v> </v>
      </c>
      <c r="G2" s="126" t="s">
        <v>542</v>
      </c>
      <c r="H2" s="126" t="str">
        <f>'Výkaz výměr'!I2</f>
        <v>Město Pelhřimov</v>
      </c>
      <c r="I2" s="122"/>
      <c r="J2" s="122"/>
      <c r="K2" s="122"/>
      <c r="L2" s="122"/>
      <c r="M2" s="122"/>
      <c r="N2" s="122"/>
      <c r="O2" s="127"/>
      <c r="P2" s="31"/>
    </row>
    <row r="3" spans="1:16" ht="12.75">
      <c r="A3" s="118"/>
      <c r="B3" s="124"/>
      <c r="C3" s="124"/>
      <c r="D3" s="124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6"/>
      <c r="P3" s="31"/>
    </row>
    <row r="4" spans="1:16" ht="12.75">
      <c r="A4" s="112" t="s">
        <v>1</v>
      </c>
      <c r="B4" s="110" t="str">
        <f>'Výkaz výměr'!D4</f>
        <v> </v>
      </c>
      <c r="C4" s="111"/>
      <c r="D4" s="111"/>
      <c r="E4" s="115" t="s">
        <v>522</v>
      </c>
      <c r="F4" s="110" t="str">
        <f>'Výkaz výměr'!G4</f>
        <v> </v>
      </c>
      <c r="G4" s="110" t="s">
        <v>543</v>
      </c>
      <c r="H4" s="110" t="str">
        <f>'Výkaz výměr'!I4</f>
        <v>Realizace a projekce staveb s.r.o.</v>
      </c>
      <c r="I4" s="111"/>
      <c r="J4" s="111"/>
      <c r="K4" s="111"/>
      <c r="L4" s="111"/>
      <c r="M4" s="111"/>
      <c r="N4" s="111"/>
      <c r="O4" s="116"/>
      <c r="P4" s="31"/>
    </row>
    <row r="5" spans="1:16" ht="12.75">
      <c r="A5" s="118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6"/>
      <c r="P5" s="31"/>
    </row>
    <row r="6" spans="1:16" ht="12.75">
      <c r="A6" s="112" t="s">
        <v>2</v>
      </c>
      <c r="B6" s="110" t="str">
        <f>'Výkaz výměr'!D6</f>
        <v>Pelhřimov</v>
      </c>
      <c r="C6" s="111"/>
      <c r="D6" s="111"/>
      <c r="E6" s="115" t="s">
        <v>523</v>
      </c>
      <c r="F6" s="110" t="str">
        <f>'Výkaz výměr'!G6</f>
        <v> </v>
      </c>
      <c r="G6" s="110" t="s">
        <v>544</v>
      </c>
      <c r="H6" s="110" t="str">
        <f>'Výkaz výměr'!I6</f>
        <v> </v>
      </c>
      <c r="I6" s="111"/>
      <c r="J6" s="111"/>
      <c r="K6" s="111"/>
      <c r="L6" s="111"/>
      <c r="M6" s="111"/>
      <c r="N6" s="111"/>
      <c r="O6" s="116"/>
      <c r="P6" s="31"/>
    </row>
    <row r="7" spans="1:16" ht="12.75">
      <c r="A7" s="118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6"/>
      <c r="P7" s="31"/>
    </row>
    <row r="8" spans="1:16" ht="12.75">
      <c r="A8" s="112" t="s">
        <v>3</v>
      </c>
      <c r="B8" s="110" t="str">
        <f>'Výkaz výměr'!D8</f>
        <v> </v>
      </c>
      <c r="C8" s="111"/>
      <c r="D8" s="111"/>
      <c r="E8" s="115" t="s">
        <v>524</v>
      </c>
      <c r="F8" s="110" t="str">
        <f>'Výkaz výměr'!G8</f>
        <v>10.09.2019</v>
      </c>
      <c r="G8" s="110" t="s">
        <v>545</v>
      </c>
      <c r="H8" s="110" t="str">
        <f>'Výkaz výměr'!I8</f>
        <v> </v>
      </c>
      <c r="I8" s="111"/>
      <c r="J8" s="111"/>
      <c r="K8" s="111"/>
      <c r="L8" s="111"/>
      <c r="M8" s="111"/>
      <c r="N8" s="111"/>
      <c r="O8" s="116"/>
      <c r="P8" s="31"/>
    </row>
    <row r="9" spans="1:16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7"/>
      <c r="P9" s="31"/>
    </row>
    <row r="10" spans="1:16" ht="12.75">
      <c r="A10" s="54" t="s">
        <v>4</v>
      </c>
      <c r="B10" s="54" t="s">
        <v>197</v>
      </c>
      <c r="C10" s="46" t="s">
        <v>201</v>
      </c>
      <c r="D10" s="162" t="s">
        <v>749</v>
      </c>
      <c r="E10" s="163"/>
      <c r="F10" s="52" t="s">
        <v>757</v>
      </c>
      <c r="G10" s="52" t="s">
        <v>758</v>
      </c>
      <c r="H10" s="52" t="s">
        <v>759</v>
      </c>
      <c r="I10" s="52" t="s">
        <v>760</v>
      </c>
      <c r="J10" s="52" t="s">
        <v>538</v>
      </c>
      <c r="K10" s="52" t="s">
        <v>761</v>
      </c>
      <c r="L10" s="55" t="s">
        <v>762</v>
      </c>
      <c r="M10" s="58" t="s">
        <v>763</v>
      </c>
      <c r="N10" s="52" t="s">
        <v>764</v>
      </c>
      <c r="O10" s="55" t="s">
        <v>765</v>
      </c>
      <c r="P10" s="32"/>
    </row>
    <row r="11" spans="1:31" ht="12.75">
      <c r="A11" s="11"/>
      <c r="B11" s="11" t="s">
        <v>198</v>
      </c>
      <c r="C11" s="11"/>
      <c r="D11" s="164" t="s">
        <v>346</v>
      </c>
      <c r="E11" s="165"/>
      <c r="F11" s="35">
        <f>F12+F17+F20+F49+F88+F104+F106</f>
        <v>0</v>
      </c>
      <c r="G11" s="35">
        <f>G12+G17+G20+G49+G88+G104+G106</f>
        <v>0</v>
      </c>
      <c r="H11" s="35">
        <f aca="true" t="shared" si="0" ref="H11:H74">G11-F11</f>
        <v>0</v>
      </c>
      <c r="I11" s="35">
        <f aca="true" t="shared" si="1" ref="I11:I74">IF(F11=0,0,H11/F11*100)</f>
        <v>0</v>
      </c>
      <c r="J11" s="35">
        <f>J12+J17+J20+J49+J88+J104+J106</f>
        <v>19465.247499999998</v>
      </c>
      <c r="K11" s="35">
        <f>K12+K17+K20+K49+K88+K104+K106</f>
        <v>0</v>
      </c>
      <c r="L11" s="59">
        <f>J11-K11</f>
        <v>19465.247499999998</v>
      </c>
      <c r="M11" s="62" t="str">
        <f aca="true" t="shared" si="2" ref="M11:M74">IF(G11=0,"Nefakturováno",AE11)</f>
        <v>Nefakturováno</v>
      </c>
      <c r="N11" s="35">
        <f aca="true" t="shared" si="3" ref="N11:N74">AE11-G11</f>
        <v>0</v>
      </c>
      <c r="O11" s="35">
        <f aca="true" t="shared" si="4" ref="O11:O74">IF(G11&lt;&gt;0,N11/G11*100,-100)</f>
        <v>-100</v>
      </c>
      <c r="AE11" s="33">
        <v>0</v>
      </c>
    </row>
    <row r="12" spans="1:31" ht="12.75">
      <c r="A12" s="12"/>
      <c r="B12" s="12" t="s">
        <v>198</v>
      </c>
      <c r="C12" s="12" t="s">
        <v>6</v>
      </c>
      <c r="D12" s="158" t="s">
        <v>347</v>
      </c>
      <c r="E12" s="159"/>
      <c r="F12" s="36">
        <f>SUM(F13:F16)</f>
        <v>0</v>
      </c>
      <c r="G12" s="36">
        <f>SUM(G13:G16)</f>
        <v>0</v>
      </c>
      <c r="H12" s="36">
        <f t="shared" si="0"/>
        <v>0</v>
      </c>
      <c r="I12" s="36">
        <f t="shared" si="1"/>
        <v>0</v>
      </c>
      <c r="J12" s="36">
        <f>SUM(J13:J16)</f>
        <v>715.7</v>
      </c>
      <c r="K12" s="36">
        <f>SUM(K13:K16)</f>
        <v>0</v>
      </c>
      <c r="L12" s="60">
        <f>J12-K12</f>
        <v>715.7</v>
      </c>
      <c r="M12" s="63" t="str">
        <f t="shared" si="2"/>
        <v>Nefakturováno</v>
      </c>
      <c r="N12" s="36">
        <f t="shared" si="3"/>
        <v>0</v>
      </c>
      <c r="O12" s="36">
        <f t="shared" si="4"/>
        <v>-100</v>
      </c>
      <c r="AE12" s="33">
        <v>0</v>
      </c>
    </row>
    <row r="13" spans="1:31" ht="12.75">
      <c r="A13" s="5" t="s">
        <v>6</v>
      </c>
      <c r="B13" s="5" t="s">
        <v>198</v>
      </c>
      <c r="C13" s="5" t="s">
        <v>202</v>
      </c>
      <c r="D13" s="154" t="s">
        <v>348</v>
      </c>
      <c r="E13" s="155"/>
      <c r="F13" s="17">
        <f>'Výkaz výměr'!J14</f>
        <v>0</v>
      </c>
      <c r="G13" s="17">
        <v>0</v>
      </c>
      <c r="H13" s="17">
        <f t="shared" si="0"/>
        <v>0</v>
      </c>
      <c r="I13" s="17">
        <f t="shared" si="1"/>
        <v>0</v>
      </c>
      <c r="J13" s="17">
        <f>'Výkaz výměr'!F14</f>
        <v>355.1</v>
      </c>
      <c r="K13" s="17">
        <v>0</v>
      </c>
      <c r="L13" s="56">
        <v>355.1</v>
      </c>
      <c r="M13" s="64" t="str">
        <f t="shared" si="2"/>
        <v>Nefakturováno</v>
      </c>
      <c r="N13" s="17">
        <f t="shared" si="3"/>
        <v>0</v>
      </c>
      <c r="O13" s="17">
        <f t="shared" si="4"/>
        <v>-100</v>
      </c>
      <c r="AE13" s="17">
        <v>0</v>
      </c>
    </row>
    <row r="14" spans="1:31" ht="12.75">
      <c r="A14" s="5" t="s">
        <v>7</v>
      </c>
      <c r="B14" s="5" t="s">
        <v>198</v>
      </c>
      <c r="C14" s="5" t="s">
        <v>203</v>
      </c>
      <c r="D14" s="154" t="s">
        <v>349</v>
      </c>
      <c r="E14" s="155"/>
      <c r="F14" s="17">
        <f>'Výkaz výměr'!J15</f>
        <v>0</v>
      </c>
      <c r="G14" s="17">
        <v>0</v>
      </c>
      <c r="H14" s="17">
        <f t="shared" si="0"/>
        <v>0</v>
      </c>
      <c r="I14" s="17">
        <f t="shared" si="1"/>
        <v>0</v>
      </c>
      <c r="J14" s="17">
        <f>'Výkaz výměr'!F15</f>
        <v>355.1</v>
      </c>
      <c r="K14" s="17">
        <v>0</v>
      </c>
      <c r="L14" s="56">
        <v>355.1</v>
      </c>
      <c r="M14" s="64" t="str">
        <f t="shared" si="2"/>
        <v>Nefakturováno</v>
      </c>
      <c r="N14" s="17">
        <f t="shared" si="3"/>
        <v>0</v>
      </c>
      <c r="O14" s="17">
        <f t="shared" si="4"/>
        <v>-100</v>
      </c>
      <c r="AE14" s="17">
        <v>0</v>
      </c>
    </row>
    <row r="15" spans="1:31" ht="12.75">
      <c r="A15" s="6" t="s">
        <v>8</v>
      </c>
      <c r="B15" s="6" t="s">
        <v>198</v>
      </c>
      <c r="C15" s="6" t="s">
        <v>204</v>
      </c>
      <c r="D15" s="156" t="s">
        <v>350</v>
      </c>
      <c r="E15" s="157"/>
      <c r="F15" s="18">
        <f>'Výkaz výměr'!J16</f>
        <v>0</v>
      </c>
      <c r="G15" s="18">
        <v>0</v>
      </c>
      <c r="H15" s="18">
        <f t="shared" si="0"/>
        <v>0</v>
      </c>
      <c r="I15" s="18">
        <f t="shared" si="1"/>
        <v>0</v>
      </c>
      <c r="J15" s="18">
        <f>'Výkaz výměr'!F16</f>
        <v>4.5</v>
      </c>
      <c r="K15" s="18">
        <v>0</v>
      </c>
      <c r="L15" s="57">
        <v>4.5</v>
      </c>
      <c r="M15" s="65" t="str">
        <f t="shared" si="2"/>
        <v>Nefakturováno</v>
      </c>
      <c r="N15" s="18">
        <f t="shared" si="3"/>
        <v>0</v>
      </c>
      <c r="O15" s="18">
        <f t="shared" si="4"/>
        <v>-100</v>
      </c>
      <c r="AE15" s="18">
        <v>0</v>
      </c>
    </row>
    <row r="16" spans="1:31" ht="12.75">
      <c r="A16" s="6" t="s">
        <v>9</v>
      </c>
      <c r="B16" s="6" t="s">
        <v>198</v>
      </c>
      <c r="C16" s="6" t="s">
        <v>205</v>
      </c>
      <c r="D16" s="156" t="s">
        <v>351</v>
      </c>
      <c r="E16" s="157"/>
      <c r="F16" s="18">
        <f>'Výkaz výměr'!J17</f>
        <v>0</v>
      </c>
      <c r="G16" s="18">
        <v>0</v>
      </c>
      <c r="H16" s="18">
        <f t="shared" si="0"/>
        <v>0</v>
      </c>
      <c r="I16" s="18">
        <f t="shared" si="1"/>
        <v>0</v>
      </c>
      <c r="J16" s="18">
        <f>'Výkaz výměr'!F17</f>
        <v>1</v>
      </c>
      <c r="K16" s="18">
        <v>0</v>
      </c>
      <c r="L16" s="57">
        <v>1</v>
      </c>
      <c r="M16" s="65" t="str">
        <f t="shared" si="2"/>
        <v>Nefakturováno</v>
      </c>
      <c r="N16" s="18">
        <f t="shared" si="3"/>
        <v>0</v>
      </c>
      <c r="O16" s="18">
        <f t="shared" si="4"/>
        <v>-100</v>
      </c>
      <c r="AE16" s="18">
        <v>0</v>
      </c>
    </row>
    <row r="17" spans="1:31" ht="12.75">
      <c r="A17" s="12"/>
      <c r="B17" s="12" t="s">
        <v>198</v>
      </c>
      <c r="C17" s="12" t="s">
        <v>7</v>
      </c>
      <c r="D17" s="158" t="s">
        <v>352</v>
      </c>
      <c r="E17" s="159"/>
      <c r="F17" s="36">
        <f>SUM(F18:F19)</f>
        <v>0</v>
      </c>
      <c r="G17" s="36">
        <f>SUM(G18:G19)</f>
        <v>0</v>
      </c>
      <c r="H17" s="36">
        <f t="shared" si="0"/>
        <v>0</v>
      </c>
      <c r="I17" s="36">
        <f t="shared" si="1"/>
        <v>0</v>
      </c>
      <c r="J17" s="36">
        <f>SUM(J18:J19)</f>
        <v>892</v>
      </c>
      <c r="K17" s="36">
        <f>SUM(K18:K19)</f>
        <v>0</v>
      </c>
      <c r="L17" s="60">
        <f>J17-K17</f>
        <v>892</v>
      </c>
      <c r="M17" s="63" t="str">
        <f t="shared" si="2"/>
        <v>Nefakturováno</v>
      </c>
      <c r="N17" s="36">
        <f t="shared" si="3"/>
        <v>0</v>
      </c>
      <c r="O17" s="36">
        <f t="shared" si="4"/>
        <v>-100</v>
      </c>
      <c r="AE17" s="18">
        <v>0</v>
      </c>
    </row>
    <row r="18" spans="1:31" ht="12.75">
      <c r="A18" s="6" t="s">
        <v>10</v>
      </c>
      <c r="B18" s="6" t="s">
        <v>198</v>
      </c>
      <c r="C18" s="6" t="s">
        <v>206</v>
      </c>
      <c r="D18" s="156" t="s">
        <v>353</v>
      </c>
      <c r="E18" s="157"/>
      <c r="F18" s="18">
        <f>'Výkaz výměr'!J19</f>
        <v>0</v>
      </c>
      <c r="G18" s="18">
        <v>0</v>
      </c>
      <c r="H18" s="18">
        <f t="shared" si="0"/>
        <v>0</v>
      </c>
      <c r="I18" s="18">
        <f t="shared" si="1"/>
        <v>0</v>
      </c>
      <c r="J18" s="18">
        <f>'Výkaz výměr'!F19</f>
        <v>446</v>
      </c>
      <c r="K18" s="18">
        <v>0</v>
      </c>
      <c r="L18" s="57">
        <v>446</v>
      </c>
      <c r="M18" s="65" t="str">
        <f t="shared" si="2"/>
        <v>Nefakturováno</v>
      </c>
      <c r="N18" s="18">
        <f t="shared" si="3"/>
        <v>0</v>
      </c>
      <c r="O18" s="18">
        <f t="shared" si="4"/>
        <v>-100</v>
      </c>
      <c r="AE18" s="18">
        <v>0</v>
      </c>
    </row>
    <row r="19" spans="1:31" ht="12.75">
      <c r="A19" s="6" t="s">
        <v>11</v>
      </c>
      <c r="B19" s="6" t="s">
        <v>198</v>
      </c>
      <c r="C19" s="6" t="s">
        <v>207</v>
      </c>
      <c r="D19" s="156" t="s">
        <v>354</v>
      </c>
      <c r="E19" s="157"/>
      <c r="F19" s="18">
        <f>'Výkaz výměr'!J20</f>
        <v>0</v>
      </c>
      <c r="G19" s="18">
        <v>0</v>
      </c>
      <c r="H19" s="18">
        <f t="shared" si="0"/>
        <v>0</v>
      </c>
      <c r="I19" s="18">
        <f t="shared" si="1"/>
        <v>0</v>
      </c>
      <c r="J19" s="18">
        <f>'Výkaz výměr'!F20</f>
        <v>446</v>
      </c>
      <c r="K19" s="18">
        <v>0</v>
      </c>
      <c r="L19" s="57">
        <v>446</v>
      </c>
      <c r="M19" s="65" t="str">
        <f t="shared" si="2"/>
        <v>Nefakturováno</v>
      </c>
      <c r="N19" s="18">
        <f t="shared" si="3"/>
        <v>0</v>
      </c>
      <c r="O19" s="18">
        <f t="shared" si="4"/>
        <v>-100</v>
      </c>
      <c r="AE19" s="18">
        <v>0</v>
      </c>
    </row>
    <row r="20" spans="1:31" ht="12.75">
      <c r="A20" s="12"/>
      <c r="B20" s="12" t="s">
        <v>198</v>
      </c>
      <c r="C20" s="12" t="s">
        <v>92</v>
      </c>
      <c r="D20" s="158" t="s">
        <v>355</v>
      </c>
      <c r="E20" s="159"/>
      <c r="F20" s="36">
        <f>SUM(F21:F48)</f>
        <v>0</v>
      </c>
      <c r="G20" s="36">
        <f>SUM(G21:G48)</f>
        <v>0</v>
      </c>
      <c r="H20" s="36">
        <f t="shared" si="0"/>
        <v>0</v>
      </c>
      <c r="I20" s="36">
        <f t="shared" si="1"/>
        <v>0</v>
      </c>
      <c r="J20" s="36">
        <f>SUM(J21:J48)</f>
        <v>10710.0175</v>
      </c>
      <c r="K20" s="36">
        <f>SUM(K21:K48)</f>
        <v>0</v>
      </c>
      <c r="L20" s="60">
        <f>J20-K20</f>
        <v>10710.0175</v>
      </c>
      <c r="M20" s="63" t="str">
        <f t="shared" si="2"/>
        <v>Nefakturováno</v>
      </c>
      <c r="N20" s="36">
        <f t="shared" si="3"/>
        <v>0</v>
      </c>
      <c r="O20" s="36">
        <f t="shared" si="4"/>
        <v>-100</v>
      </c>
      <c r="AE20" s="18">
        <v>0</v>
      </c>
    </row>
    <row r="21" spans="1:31" ht="12.75">
      <c r="A21" s="6" t="s">
        <v>12</v>
      </c>
      <c r="B21" s="6" t="s">
        <v>198</v>
      </c>
      <c r="C21" s="6" t="s">
        <v>208</v>
      </c>
      <c r="D21" s="156" t="s">
        <v>356</v>
      </c>
      <c r="E21" s="157"/>
      <c r="F21" s="18">
        <f>'Výkaz výměr'!J22</f>
        <v>0</v>
      </c>
      <c r="G21" s="18">
        <v>0</v>
      </c>
      <c r="H21" s="18">
        <f t="shared" si="0"/>
        <v>0</v>
      </c>
      <c r="I21" s="18">
        <f t="shared" si="1"/>
        <v>0</v>
      </c>
      <c r="J21" s="18">
        <f>'Výkaz výměr'!F22</f>
        <v>1025</v>
      </c>
      <c r="K21" s="18">
        <v>0</v>
      </c>
      <c r="L21" s="57">
        <v>1025</v>
      </c>
      <c r="M21" s="65" t="str">
        <f t="shared" si="2"/>
        <v>Nefakturováno</v>
      </c>
      <c r="N21" s="18">
        <f t="shared" si="3"/>
        <v>0</v>
      </c>
      <c r="O21" s="18">
        <f t="shared" si="4"/>
        <v>-100</v>
      </c>
      <c r="AE21" s="18">
        <v>0</v>
      </c>
    </row>
    <row r="22" spans="1:31" ht="12.75">
      <c r="A22" s="6" t="s">
        <v>13</v>
      </c>
      <c r="B22" s="6" t="s">
        <v>198</v>
      </c>
      <c r="C22" s="6" t="s">
        <v>209</v>
      </c>
      <c r="D22" s="156" t="s">
        <v>357</v>
      </c>
      <c r="E22" s="157"/>
      <c r="F22" s="18">
        <f>'Výkaz výměr'!J23</f>
        <v>0</v>
      </c>
      <c r="G22" s="18">
        <v>0</v>
      </c>
      <c r="H22" s="18">
        <f t="shared" si="0"/>
        <v>0</v>
      </c>
      <c r="I22" s="18">
        <f t="shared" si="1"/>
        <v>0</v>
      </c>
      <c r="J22" s="18">
        <f>'Výkaz výměr'!F23</f>
        <v>1575</v>
      </c>
      <c r="K22" s="18">
        <v>0</v>
      </c>
      <c r="L22" s="57">
        <v>1575</v>
      </c>
      <c r="M22" s="65" t="str">
        <f t="shared" si="2"/>
        <v>Nefakturováno</v>
      </c>
      <c r="N22" s="18">
        <f t="shared" si="3"/>
        <v>0</v>
      </c>
      <c r="O22" s="18">
        <f t="shared" si="4"/>
        <v>-100</v>
      </c>
      <c r="AE22" s="18">
        <v>0</v>
      </c>
    </row>
    <row r="23" spans="1:31" ht="12.75">
      <c r="A23" s="6" t="s">
        <v>14</v>
      </c>
      <c r="B23" s="6" t="s">
        <v>198</v>
      </c>
      <c r="C23" s="6" t="s">
        <v>210</v>
      </c>
      <c r="D23" s="156" t="s">
        <v>358</v>
      </c>
      <c r="E23" s="157"/>
      <c r="F23" s="18">
        <f>'Výkaz výměr'!J24</f>
        <v>0</v>
      </c>
      <c r="G23" s="18">
        <v>0</v>
      </c>
      <c r="H23" s="18">
        <f t="shared" si="0"/>
        <v>0</v>
      </c>
      <c r="I23" s="18">
        <f t="shared" si="1"/>
        <v>0</v>
      </c>
      <c r="J23" s="18">
        <f>'Výkaz výměr'!F24</f>
        <v>550</v>
      </c>
      <c r="K23" s="18">
        <v>0</v>
      </c>
      <c r="L23" s="57">
        <v>550</v>
      </c>
      <c r="M23" s="65" t="str">
        <f t="shared" si="2"/>
        <v>Nefakturováno</v>
      </c>
      <c r="N23" s="18">
        <f t="shared" si="3"/>
        <v>0</v>
      </c>
      <c r="O23" s="18">
        <f t="shared" si="4"/>
        <v>-100</v>
      </c>
      <c r="AE23" s="18">
        <v>0</v>
      </c>
    </row>
    <row r="24" spans="1:31" ht="12.75">
      <c r="A24" s="6" t="s">
        <v>15</v>
      </c>
      <c r="B24" s="6" t="s">
        <v>198</v>
      </c>
      <c r="C24" s="6" t="s">
        <v>211</v>
      </c>
      <c r="D24" s="156" t="s">
        <v>359</v>
      </c>
      <c r="E24" s="157"/>
      <c r="F24" s="18">
        <f>'Výkaz výměr'!J25</f>
        <v>0</v>
      </c>
      <c r="G24" s="18">
        <v>0</v>
      </c>
      <c r="H24" s="18">
        <f t="shared" si="0"/>
        <v>0</v>
      </c>
      <c r="I24" s="18">
        <f t="shared" si="1"/>
        <v>0</v>
      </c>
      <c r="J24" s="18">
        <f>'Výkaz výměr'!F25</f>
        <v>274.5</v>
      </c>
      <c r="K24" s="18">
        <v>0</v>
      </c>
      <c r="L24" s="57">
        <v>274.5</v>
      </c>
      <c r="M24" s="65" t="str">
        <f t="shared" si="2"/>
        <v>Nefakturováno</v>
      </c>
      <c r="N24" s="18">
        <f t="shared" si="3"/>
        <v>0</v>
      </c>
      <c r="O24" s="18">
        <f t="shared" si="4"/>
        <v>-100</v>
      </c>
      <c r="AE24" s="18">
        <v>0</v>
      </c>
    </row>
    <row r="25" spans="1:31" ht="12.75">
      <c r="A25" s="6" t="s">
        <v>16</v>
      </c>
      <c r="B25" s="6" t="s">
        <v>198</v>
      </c>
      <c r="C25" s="6" t="s">
        <v>212</v>
      </c>
      <c r="D25" s="156" t="s">
        <v>360</v>
      </c>
      <c r="E25" s="157"/>
      <c r="F25" s="18">
        <f>'Výkaz výměr'!J26</f>
        <v>0</v>
      </c>
      <c r="G25" s="18">
        <v>0</v>
      </c>
      <c r="H25" s="18">
        <f t="shared" si="0"/>
        <v>0</v>
      </c>
      <c r="I25" s="18">
        <f t="shared" si="1"/>
        <v>0</v>
      </c>
      <c r="J25" s="18">
        <f>'Výkaz výměr'!F26</f>
        <v>1415.02</v>
      </c>
      <c r="K25" s="18">
        <v>0</v>
      </c>
      <c r="L25" s="57">
        <v>1415.02</v>
      </c>
      <c r="M25" s="65" t="str">
        <f t="shared" si="2"/>
        <v>Nefakturováno</v>
      </c>
      <c r="N25" s="18">
        <f t="shared" si="3"/>
        <v>0</v>
      </c>
      <c r="O25" s="18">
        <f t="shared" si="4"/>
        <v>-100</v>
      </c>
      <c r="AE25" s="18">
        <v>0</v>
      </c>
    </row>
    <row r="26" spans="1:31" ht="12.75">
      <c r="A26" s="6" t="s">
        <v>17</v>
      </c>
      <c r="B26" s="6" t="s">
        <v>198</v>
      </c>
      <c r="C26" s="6" t="s">
        <v>213</v>
      </c>
      <c r="D26" s="156" t="s">
        <v>361</v>
      </c>
      <c r="E26" s="157"/>
      <c r="F26" s="18">
        <f>'Výkaz výměr'!J27</f>
        <v>0</v>
      </c>
      <c r="G26" s="18">
        <v>0</v>
      </c>
      <c r="H26" s="18">
        <f t="shared" si="0"/>
        <v>0</v>
      </c>
      <c r="I26" s="18">
        <f t="shared" si="1"/>
        <v>0</v>
      </c>
      <c r="J26" s="18">
        <f>'Výkaz výměr'!F27</f>
        <v>1415.02</v>
      </c>
      <c r="K26" s="18">
        <v>0</v>
      </c>
      <c r="L26" s="57">
        <v>1415.02</v>
      </c>
      <c r="M26" s="65" t="str">
        <f t="shared" si="2"/>
        <v>Nefakturováno</v>
      </c>
      <c r="N26" s="18">
        <f t="shared" si="3"/>
        <v>0</v>
      </c>
      <c r="O26" s="18">
        <f t="shared" si="4"/>
        <v>-100</v>
      </c>
      <c r="AE26" s="18">
        <v>0</v>
      </c>
    </row>
    <row r="27" spans="1:31" ht="12.75">
      <c r="A27" s="6" t="s">
        <v>18</v>
      </c>
      <c r="B27" s="6" t="s">
        <v>198</v>
      </c>
      <c r="C27" s="6" t="s">
        <v>214</v>
      </c>
      <c r="D27" s="156" t="s">
        <v>362</v>
      </c>
      <c r="E27" s="157"/>
      <c r="F27" s="18">
        <f>'Výkaz výměr'!J28</f>
        <v>0</v>
      </c>
      <c r="G27" s="18">
        <v>0</v>
      </c>
      <c r="H27" s="18">
        <f t="shared" si="0"/>
        <v>0</v>
      </c>
      <c r="I27" s="18">
        <f t="shared" si="1"/>
        <v>0</v>
      </c>
      <c r="J27" s="18">
        <f>'Výkaz výměr'!F28</f>
        <v>630</v>
      </c>
      <c r="K27" s="18">
        <v>0</v>
      </c>
      <c r="L27" s="57">
        <v>630</v>
      </c>
      <c r="M27" s="65" t="str">
        <f t="shared" si="2"/>
        <v>Nefakturováno</v>
      </c>
      <c r="N27" s="18">
        <f t="shared" si="3"/>
        <v>0</v>
      </c>
      <c r="O27" s="18">
        <f t="shared" si="4"/>
        <v>-100</v>
      </c>
      <c r="AE27" s="18">
        <v>0</v>
      </c>
    </row>
    <row r="28" spans="1:31" ht="12.75">
      <c r="A28" s="6" t="s">
        <v>19</v>
      </c>
      <c r="B28" s="6" t="s">
        <v>198</v>
      </c>
      <c r="C28" s="6" t="s">
        <v>215</v>
      </c>
      <c r="D28" s="156" t="s">
        <v>363</v>
      </c>
      <c r="E28" s="157"/>
      <c r="F28" s="18">
        <f>'Výkaz výměr'!J29</f>
        <v>0</v>
      </c>
      <c r="G28" s="18">
        <v>0</v>
      </c>
      <c r="H28" s="18">
        <f t="shared" si="0"/>
        <v>0</v>
      </c>
      <c r="I28" s="18">
        <f t="shared" si="1"/>
        <v>0</v>
      </c>
      <c r="J28" s="18">
        <f>'Výkaz výměr'!F29</f>
        <v>243.6</v>
      </c>
      <c r="K28" s="18">
        <v>0</v>
      </c>
      <c r="L28" s="57">
        <v>243.6</v>
      </c>
      <c r="M28" s="65" t="str">
        <f t="shared" si="2"/>
        <v>Nefakturováno</v>
      </c>
      <c r="N28" s="18">
        <f t="shared" si="3"/>
        <v>0</v>
      </c>
      <c r="O28" s="18">
        <f t="shared" si="4"/>
        <v>-100</v>
      </c>
      <c r="AE28" s="18">
        <v>0</v>
      </c>
    </row>
    <row r="29" spans="1:31" ht="12.75">
      <c r="A29" s="6" t="s">
        <v>20</v>
      </c>
      <c r="B29" s="6" t="s">
        <v>198</v>
      </c>
      <c r="C29" s="6" t="s">
        <v>216</v>
      </c>
      <c r="D29" s="156" t="s">
        <v>364</v>
      </c>
      <c r="E29" s="157"/>
      <c r="F29" s="18">
        <f>'Výkaz výměr'!J30</f>
        <v>0</v>
      </c>
      <c r="G29" s="18">
        <v>0</v>
      </c>
      <c r="H29" s="18">
        <f t="shared" si="0"/>
        <v>0</v>
      </c>
      <c r="I29" s="18">
        <f t="shared" si="1"/>
        <v>0</v>
      </c>
      <c r="J29" s="18">
        <f>'Výkaz výměr'!F30</f>
        <v>34.8</v>
      </c>
      <c r="K29" s="18">
        <v>0</v>
      </c>
      <c r="L29" s="57">
        <v>34.8</v>
      </c>
      <c r="M29" s="65" t="str">
        <f t="shared" si="2"/>
        <v>Nefakturováno</v>
      </c>
      <c r="N29" s="18">
        <f t="shared" si="3"/>
        <v>0</v>
      </c>
      <c r="O29" s="18">
        <f t="shared" si="4"/>
        <v>-100</v>
      </c>
      <c r="AE29" s="18">
        <v>0</v>
      </c>
    </row>
    <row r="30" spans="1:31" ht="12.75">
      <c r="A30" s="6" t="s">
        <v>21</v>
      </c>
      <c r="B30" s="6" t="s">
        <v>198</v>
      </c>
      <c r="C30" s="6" t="s">
        <v>217</v>
      </c>
      <c r="D30" s="156" t="s">
        <v>365</v>
      </c>
      <c r="E30" s="157"/>
      <c r="F30" s="18">
        <f>'Výkaz výměr'!J31</f>
        <v>0</v>
      </c>
      <c r="G30" s="18">
        <v>0</v>
      </c>
      <c r="H30" s="18">
        <f t="shared" si="0"/>
        <v>0</v>
      </c>
      <c r="I30" s="18">
        <f t="shared" si="1"/>
        <v>0</v>
      </c>
      <c r="J30" s="18">
        <f>'Výkaz výměr'!F31</f>
        <v>34.8</v>
      </c>
      <c r="K30" s="18">
        <v>0</v>
      </c>
      <c r="L30" s="57">
        <v>34.8</v>
      </c>
      <c r="M30" s="65" t="str">
        <f t="shared" si="2"/>
        <v>Nefakturováno</v>
      </c>
      <c r="N30" s="18">
        <f t="shared" si="3"/>
        <v>0</v>
      </c>
      <c r="O30" s="18">
        <f t="shared" si="4"/>
        <v>-100</v>
      </c>
      <c r="AE30" s="18">
        <v>0</v>
      </c>
    </row>
    <row r="31" spans="1:31" ht="12.75">
      <c r="A31" s="6" t="s">
        <v>22</v>
      </c>
      <c r="B31" s="6" t="s">
        <v>198</v>
      </c>
      <c r="C31" s="6" t="s">
        <v>218</v>
      </c>
      <c r="D31" s="156" t="s">
        <v>366</v>
      </c>
      <c r="E31" s="157"/>
      <c r="F31" s="18">
        <f>'Výkaz výměr'!J32</f>
        <v>0</v>
      </c>
      <c r="G31" s="18">
        <v>0</v>
      </c>
      <c r="H31" s="18">
        <f t="shared" si="0"/>
        <v>0</v>
      </c>
      <c r="I31" s="18">
        <f t="shared" si="1"/>
        <v>0</v>
      </c>
      <c r="J31" s="18">
        <f>'Výkaz výměr'!F32</f>
        <v>17.4</v>
      </c>
      <c r="K31" s="18">
        <v>0</v>
      </c>
      <c r="L31" s="57">
        <v>17.4</v>
      </c>
      <c r="M31" s="65" t="str">
        <f t="shared" si="2"/>
        <v>Nefakturováno</v>
      </c>
      <c r="N31" s="18">
        <f t="shared" si="3"/>
        <v>0</v>
      </c>
      <c r="O31" s="18">
        <f t="shared" si="4"/>
        <v>-100</v>
      </c>
      <c r="AE31" s="18">
        <v>0</v>
      </c>
    </row>
    <row r="32" spans="1:31" ht="12.75">
      <c r="A32" s="6" t="s">
        <v>23</v>
      </c>
      <c r="B32" s="6" t="s">
        <v>198</v>
      </c>
      <c r="C32" s="6" t="s">
        <v>219</v>
      </c>
      <c r="D32" s="156" t="s">
        <v>367</v>
      </c>
      <c r="E32" s="157"/>
      <c r="F32" s="18">
        <f>'Výkaz výměr'!J33</f>
        <v>0</v>
      </c>
      <c r="G32" s="18">
        <v>0</v>
      </c>
      <c r="H32" s="18">
        <f t="shared" si="0"/>
        <v>0</v>
      </c>
      <c r="I32" s="18">
        <f t="shared" si="1"/>
        <v>0</v>
      </c>
      <c r="J32" s="18">
        <f>'Výkaz výměr'!F33</f>
        <v>17.4</v>
      </c>
      <c r="K32" s="18">
        <v>0</v>
      </c>
      <c r="L32" s="57">
        <v>17.4</v>
      </c>
      <c r="M32" s="65" t="str">
        <f t="shared" si="2"/>
        <v>Nefakturováno</v>
      </c>
      <c r="N32" s="18">
        <f t="shared" si="3"/>
        <v>0</v>
      </c>
      <c r="O32" s="18">
        <f t="shared" si="4"/>
        <v>-100</v>
      </c>
      <c r="AE32" s="18">
        <v>0</v>
      </c>
    </row>
    <row r="33" spans="1:31" ht="12.75">
      <c r="A33" s="6" t="s">
        <v>24</v>
      </c>
      <c r="B33" s="6" t="s">
        <v>198</v>
      </c>
      <c r="C33" s="6" t="s">
        <v>220</v>
      </c>
      <c r="D33" s="156" t="s">
        <v>368</v>
      </c>
      <c r="E33" s="157"/>
      <c r="F33" s="18">
        <f>'Výkaz výměr'!J34</f>
        <v>0</v>
      </c>
      <c r="G33" s="18">
        <v>0</v>
      </c>
      <c r="H33" s="18">
        <f t="shared" si="0"/>
        <v>0</v>
      </c>
      <c r="I33" s="18">
        <f t="shared" si="1"/>
        <v>0</v>
      </c>
      <c r="J33" s="18">
        <f>'Výkaz výměr'!F34</f>
        <v>243.6</v>
      </c>
      <c r="K33" s="18">
        <v>0</v>
      </c>
      <c r="L33" s="57">
        <v>243.6</v>
      </c>
      <c r="M33" s="65" t="str">
        <f t="shared" si="2"/>
        <v>Nefakturováno</v>
      </c>
      <c r="N33" s="18">
        <f t="shared" si="3"/>
        <v>0</v>
      </c>
      <c r="O33" s="18">
        <f t="shared" si="4"/>
        <v>-100</v>
      </c>
      <c r="AE33" s="18">
        <v>0</v>
      </c>
    </row>
    <row r="34" spans="1:31" ht="12.75">
      <c r="A34" s="6" t="s">
        <v>25</v>
      </c>
      <c r="B34" s="6" t="s">
        <v>198</v>
      </c>
      <c r="C34" s="6" t="s">
        <v>221</v>
      </c>
      <c r="D34" s="156" t="s">
        <v>369</v>
      </c>
      <c r="E34" s="157"/>
      <c r="F34" s="18">
        <f>'Výkaz výměr'!J35</f>
        <v>0</v>
      </c>
      <c r="G34" s="18">
        <v>0</v>
      </c>
      <c r="H34" s="18">
        <f t="shared" si="0"/>
        <v>0</v>
      </c>
      <c r="I34" s="18">
        <f t="shared" si="1"/>
        <v>0</v>
      </c>
      <c r="J34" s="18">
        <f>'Výkaz výměr'!F35</f>
        <v>34.8</v>
      </c>
      <c r="K34" s="18">
        <v>0</v>
      </c>
      <c r="L34" s="57">
        <v>34.8</v>
      </c>
      <c r="M34" s="65" t="str">
        <f t="shared" si="2"/>
        <v>Nefakturováno</v>
      </c>
      <c r="N34" s="18">
        <f t="shared" si="3"/>
        <v>0</v>
      </c>
      <c r="O34" s="18">
        <f t="shared" si="4"/>
        <v>-100</v>
      </c>
      <c r="AE34" s="18">
        <v>0</v>
      </c>
    </row>
    <row r="35" spans="1:31" ht="12.75">
      <c r="A35" s="6" t="s">
        <v>26</v>
      </c>
      <c r="B35" s="6" t="s">
        <v>198</v>
      </c>
      <c r="C35" s="6" t="s">
        <v>214</v>
      </c>
      <c r="D35" s="156" t="s">
        <v>370</v>
      </c>
      <c r="E35" s="157"/>
      <c r="F35" s="18">
        <f>'Výkaz výměr'!J36</f>
        <v>0</v>
      </c>
      <c r="G35" s="18">
        <v>0</v>
      </c>
      <c r="H35" s="18">
        <f t="shared" si="0"/>
        <v>0</v>
      </c>
      <c r="I35" s="18">
        <f t="shared" si="1"/>
        <v>0</v>
      </c>
      <c r="J35" s="18">
        <f>'Výkaz výměr'!F36</f>
        <v>348</v>
      </c>
      <c r="K35" s="18">
        <v>0</v>
      </c>
      <c r="L35" s="57">
        <v>348</v>
      </c>
      <c r="M35" s="65" t="str">
        <f t="shared" si="2"/>
        <v>Nefakturováno</v>
      </c>
      <c r="N35" s="18">
        <f t="shared" si="3"/>
        <v>0</v>
      </c>
      <c r="O35" s="18">
        <f t="shared" si="4"/>
        <v>-100</v>
      </c>
      <c r="AE35" s="18">
        <v>0</v>
      </c>
    </row>
    <row r="36" spans="1:31" ht="12.75">
      <c r="A36" s="6" t="s">
        <v>27</v>
      </c>
      <c r="B36" s="6" t="s">
        <v>198</v>
      </c>
      <c r="C36" s="6" t="s">
        <v>222</v>
      </c>
      <c r="D36" s="156" t="s">
        <v>371</v>
      </c>
      <c r="E36" s="157"/>
      <c r="F36" s="18">
        <f>'Výkaz výměr'!J37</f>
        <v>0</v>
      </c>
      <c r="G36" s="18">
        <v>0</v>
      </c>
      <c r="H36" s="18">
        <f t="shared" si="0"/>
        <v>0</v>
      </c>
      <c r="I36" s="18">
        <f t="shared" si="1"/>
        <v>0</v>
      </c>
      <c r="J36" s="18">
        <f>'Výkaz výměr'!F37</f>
        <v>27.84</v>
      </c>
      <c r="K36" s="18">
        <v>0</v>
      </c>
      <c r="L36" s="57">
        <v>27.84</v>
      </c>
      <c r="M36" s="65" t="str">
        <f t="shared" si="2"/>
        <v>Nefakturováno</v>
      </c>
      <c r="N36" s="18">
        <f t="shared" si="3"/>
        <v>0</v>
      </c>
      <c r="O36" s="18">
        <f t="shared" si="4"/>
        <v>-100</v>
      </c>
      <c r="AE36" s="18">
        <v>0</v>
      </c>
    </row>
    <row r="37" spans="1:31" ht="12.75">
      <c r="A37" s="6" t="s">
        <v>28</v>
      </c>
      <c r="B37" s="6" t="s">
        <v>198</v>
      </c>
      <c r="C37" s="6" t="s">
        <v>223</v>
      </c>
      <c r="D37" s="156" t="s">
        <v>372</v>
      </c>
      <c r="E37" s="157"/>
      <c r="F37" s="18">
        <f>'Výkaz výměr'!J38</f>
        <v>0</v>
      </c>
      <c r="G37" s="18">
        <v>0</v>
      </c>
      <c r="H37" s="18">
        <f t="shared" si="0"/>
        <v>0</v>
      </c>
      <c r="I37" s="18">
        <f t="shared" si="1"/>
        <v>0</v>
      </c>
      <c r="J37" s="18">
        <f>'Výkaz výměr'!F38</f>
        <v>17.05</v>
      </c>
      <c r="K37" s="18">
        <v>0</v>
      </c>
      <c r="L37" s="57">
        <v>17.05</v>
      </c>
      <c r="M37" s="65" t="str">
        <f t="shared" si="2"/>
        <v>Nefakturováno</v>
      </c>
      <c r="N37" s="18">
        <f t="shared" si="3"/>
        <v>0</v>
      </c>
      <c r="O37" s="18">
        <f t="shared" si="4"/>
        <v>-100</v>
      </c>
      <c r="AE37" s="18">
        <v>0</v>
      </c>
    </row>
    <row r="38" spans="1:31" ht="12.75">
      <c r="A38" s="6" t="s">
        <v>29</v>
      </c>
      <c r="B38" s="6" t="s">
        <v>198</v>
      </c>
      <c r="C38" s="6" t="s">
        <v>224</v>
      </c>
      <c r="D38" s="156" t="s">
        <v>374</v>
      </c>
      <c r="E38" s="157"/>
      <c r="F38" s="18">
        <f>'Výkaz výměr'!J40</f>
        <v>0</v>
      </c>
      <c r="G38" s="18">
        <v>0</v>
      </c>
      <c r="H38" s="18">
        <f t="shared" si="0"/>
        <v>0</v>
      </c>
      <c r="I38" s="18">
        <f t="shared" si="1"/>
        <v>0</v>
      </c>
      <c r="J38" s="18">
        <f>'Výkaz výměr'!F40</f>
        <v>278.4</v>
      </c>
      <c r="K38" s="18">
        <v>0</v>
      </c>
      <c r="L38" s="57">
        <v>278.4</v>
      </c>
      <c r="M38" s="65" t="str">
        <f t="shared" si="2"/>
        <v>Nefakturováno</v>
      </c>
      <c r="N38" s="18">
        <f t="shared" si="3"/>
        <v>0</v>
      </c>
      <c r="O38" s="18">
        <f t="shared" si="4"/>
        <v>-100</v>
      </c>
      <c r="AE38" s="18">
        <v>0</v>
      </c>
    </row>
    <row r="39" spans="1:31" ht="12.75">
      <c r="A39" s="6" t="s">
        <v>30</v>
      </c>
      <c r="B39" s="6" t="s">
        <v>198</v>
      </c>
      <c r="C39" s="6" t="s">
        <v>225</v>
      </c>
      <c r="D39" s="156" t="s">
        <v>376</v>
      </c>
      <c r="E39" s="157"/>
      <c r="F39" s="18">
        <f>'Výkaz výměr'!J42</f>
        <v>0</v>
      </c>
      <c r="G39" s="18">
        <v>0</v>
      </c>
      <c r="H39" s="18">
        <f t="shared" si="0"/>
        <v>0</v>
      </c>
      <c r="I39" s="18">
        <f t="shared" si="1"/>
        <v>0</v>
      </c>
      <c r="J39" s="18">
        <f>'Výkaz výměr'!F42</f>
        <v>1392</v>
      </c>
      <c r="K39" s="18">
        <v>0</v>
      </c>
      <c r="L39" s="57">
        <v>1392</v>
      </c>
      <c r="M39" s="65" t="str">
        <f t="shared" si="2"/>
        <v>Nefakturováno</v>
      </c>
      <c r="N39" s="18">
        <f t="shared" si="3"/>
        <v>0</v>
      </c>
      <c r="O39" s="18">
        <f t="shared" si="4"/>
        <v>-100</v>
      </c>
      <c r="AE39" s="18">
        <v>0</v>
      </c>
    </row>
    <row r="40" spans="1:31" ht="12.75">
      <c r="A40" s="6" t="s">
        <v>31</v>
      </c>
      <c r="B40" s="6" t="s">
        <v>198</v>
      </c>
      <c r="C40" s="6" t="s">
        <v>226</v>
      </c>
      <c r="D40" s="156" t="s">
        <v>378</v>
      </c>
      <c r="E40" s="157"/>
      <c r="F40" s="18">
        <f>'Výkaz výměr'!J44</f>
        <v>0</v>
      </c>
      <c r="G40" s="18">
        <v>0</v>
      </c>
      <c r="H40" s="18">
        <f t="shared" si="0"/>
        <v>0</v>
      </c>
      <c r="I40" s="18">
        <f t="shared" si="1"/>
        <v>0</v>
      </c>
      <c r="J40" s="18">
        <f>'Výkaz výměr'!F44</f>
        <v>69.6</v>
      </c>
      <c r="K40" s="18">
        <v>0</v>
      </c>
      <c r="L40" s="57">
        <v>69.6</v>
      </c>
      <c r="M40" s="65" t="str">
        <f t="shared" si="2"/>
        <v>Nefakturováno</v>
      </c>
      <c r="N40" s="18">
        <f t="shared" si="3"/>
        <v>0</v>
      </c>
      <c r="O40" s="18">
        <f t="shared" si="4"/>
        <v>-100</v>
      </c>
      <c r="AE40" s="18">
        <v>0</v>
      </c>
    </row>
    <row r="41" spans="1:31" ht="12.75">
      <c r="A41" s="6" t="s">
        <v>32</v>
      </c>
      <c r="B41" s="6" t="s">
        <v>198</v>
      </c>
      <c r="C41" s="6" t="s">
        <v>227</v>
      </c>
      <c r="D41" s="156" t="s">
        <v>379</v>
      </c>
      <c r="E41" s="157"/>
      <c r="F41" s="18">
        <f>'Výkaz výměr'!J45</f>
        <v>0</v>
      </c>
      <c r="G41" s="18">
        <v>0</v>
      </c>
      <c r="H41" s="18">
        <f t="shared" si="0"/>
        <v>0</v>
      </c>
      <c r="I41" s="18">
        <f t="shared" si="1"/>
        <v>0</v>
      </c>
      <c r="J41" s="18">
        <f>'Výkaz výměr'!F45</f>
        <v>348</v>
      </c>
      <c r="K41" s="18">
        <v>0</v>
      </c>
      <c r="L41" s="57">
        <v>348</v>
      </c>
      <c r="M41" s="65" t="str">
        <f t="shared" si="2"/>
        <v>Nefakturováno</v>
      </c>
      <c r="N41" s="18">
        <f t="shared" si="3"/>
        <v>0</v>
      </c>
      <c r="O41" s="18">
        <f t="shared" si="4"/>
        <v>-100</v>
      </c>
      <c r="AE41" s="18">
        <v>0</v>
      </c>
    </row>
    <row r="42" spans="1:31" ht="12.75">
      <c r="A42" s="6" t="s">
        <v>33</v>
      </c>
      <c r="B42" s="6" t="s">
        <v>198</v>
      </c>
      <c r="C42" s="6" t="s">
        <v>228</v>
      </c>
      <c r="D42" s="156" t="s">
        <v>380</v>
      </c>
      <c r="E42" s="157"/>
      <c r="F42" s="18">
        <f>'Výkaz výměr'!J46</f>
        <v>0</v>
      </c>
      <c r="G42" s="18">
        <v>0</v>
      </c>
      <c r="H42" s="18">
        <f t="shared" si="0"/>
        <v>0</v>
      </c>
      <c r="I42" s="18">
        <f t="shared" si="1"/>
        <v>0</v>
      </c>
      <c r="J42" s="18">
        <f>'Výkaz výměr'!F46</f>
        <v>365.05</v>
      </c>
      <c r="K42" s="18">
        <v>0</v>
      </c>
      <c r="L42" s="57">
        <v>365.05</v>
      </c>
      <c r="M42" s="65" t="str">
        <f t="shared" si="2"/>
        <v>Nefakturováno</v>
      </c>
      <c r="N42" s="18">
        <f t="shared" si="3"/>
        <v>0</v>
      </c>
      <c r="O42" s="18">
        <f t="shared" si="4"/>
        <v>-100</v>
      </c>
      <c r="AE42" s="18">
        <v>0</v>
      </c>
    </row>
    <row r="43" spans="1:31" ht="12.75">
      <c r="A43" s="6" t="s">
        <v>34</v>
      </c>
      <c r="B43" s="6" t="s">
        <v>198</v>
      </c>
      <c r="C43" s="6" t="s">
        <v>229</v>
      </c>
      <c r="D43" s="156" t="s">
        <v>381</v>
      </c>
      <c r="E43" s="157"/>
      <c r="F43" s="18">
        <f>'Výkaz výměr'!J47</f>
        <v>0</v>
      </c>
      <c r="G43" s="18">
        <v>0</v>
      </c>
      <c r="H43" s="18">
        <f t="shared" si="0"/>
        <v>0</v>
      </c>
      <c r="I43" s="18">
        <f t="shared" si="1"/>
        <v>0</v>
      </c>
      <c r="J43" s="18">
        <f>'Výkaz výměr'!F47</f>
        <v>77.5</v>
      </c>
      <c r="K43" s="18">
        <v>0</v>
      </c>
      <c r="L43" s="57">
        <v>77.5</v>
      </c>
      <c r="M43" s="65" t="str">
        <f t="shared" si="2"/>
        <v>Nefakturováno</v>
      </c>
      <c r="N43" s="18">
        <f t="shared" si="3"/>
        <v>0</v>
      </c>
      <c r="O43" s="18">
        <f t="shared" si="4"/>
        <v>-100</v>
      </c>
      <c r="AE43" s="18">
        <v>0</v>
      </c>
    </row>
    <row r="44" spans="1:31" ht="12.75">
      <c r="A44" s="6" t="s">
        <v>35</v>
      </c>
      <c r="B44" s="6" t="s">
        <v>198</v>
      </c>
      <c r="C44" s="6" t="s">
        <v>230</v>
      </c>
      <c r="D44" s="156" t="s">
        <v>382</v>
      </c>
      <c r="E44" s="157"/>
      <c r="F44" s="18">
        <f>'Výkaz výměr'!J48</f>
        <v>0</v>
      </c>
      <c r="G44" s="18">
        <v>0</v>
      </c>
      <c r="H44" s="18">
        <f t="shared" si="0"/>
        <v>0</v>
      </c>
      <c r="I44" s="18">
        <f t="shared" si="1"/>
        <v>0</v>
      </c>
      <c r="J44" s="18">
        <f>'Výkaz výměr'!F48</f>
        <v>31</v>
      </c>
      <c r="K44" s="18">
        <v>0</v>
      </c>
      <c r="L44" s="57">
        <v>31</v>
      </c>
      <c r="M44" s="65" t="str">
        <f t="shared" si="2"/>
        <v>Nefakturováno</v>
      </c>
      <c r="N44" s="18">
        <f t="shared" si="3"/>
        <v>0</v>
      </c>
      <c r="O44" s="18">
        <f t="shared" si="4"/>
        <v>-100</v>
      </c>
      <c r="AE44" s="18">
        <v>0</v>
      </c>
    </row>
    <row r="45" spans="1:31" ht="12.75">
      <c r="A45" s="6" t="s">
        <v>36</v>
      </c>
      <c r="B45" s="6" t="s">
        <v>198</v>
      </c>
      <c r="C45" s="6" t="s">
        <v>231</v>
      </c>
      <c r="D45" s="156" t="s">
        <v>383</v>
      </c>
      <c r="E45" s="157"/>
      <c r="F45" s="18">
        <f>'Výkaz výměr'!J49</f>
        <v>0</v>
      </c>
      <c r="G45" s="18">
        <v>0</v>
      </c>
      <c r="H45" s="18">
        <f t="shared" si="0"/>
        <v>0</v>
      </c>
      <c r="I45" s="18">
        <f t="shared" si="1"/>
        <v>0</v>
      </c>
      <c r="J45" s="18">
        <f>'Výkaz výměr'!F49</f>
        <v>20</v>
      </c>
      <c r="K45" s="18">
        <v>0</v>
      </c>
      <c r="L45" s="57">
        <v>20</v>
      </c>
      <c r="M45" s="65" t="str">
        <f t="shared" si="2"/>
        <v>Nefakturováno</v>
      </c>
      <c r="N45" s="18">
        <f t="shared" si="3"/>
        <v>0</v>
      </c>
      <c r="O45" s="18">
        <f t="shared" si="4"/>
        <v>-100</v>
      </c>
      <c r="AE45" s="18">
        <v>0</v>
      </c>
    </row>
    <row r="46" spans="1:31" ht="12.75">
      <c r="A46" s="6" t="s">
        <v>37</v>
      </c>
      <c r="B46" s="6" t="s">
        <v>198</v>
      </c>
      <c r="C46" s="6" t="s">
        <v>232</v>
      </c>
      <c r="D46" s="156" t="s">
        <v>384</v>
      </c>
      <c r="E46" s="157"/>
      <c r="F46" s="18">
        <f>'Výkaz výměr'!J50</f>
        <v>0</v>
      </c>
      <c r="G46" s="18">
        <v>0</v>
      </c>
      <c r="H46" s="18">
        <f t="shared" si="0"/>
        <v>0</v>
      </c>
      <c r="I46" s="18">
        <f t="shared" si="1"/>
        <v>0</v>
      </c>
      <c r="J46" s="18">
        <f>'Výkaz výměr'!F50</f>
        <v>20</v>
      </c>
      <c r="K46" s="18">
        <v>0</v>
      </c>
      <c r="L46" s="57">
        <v>20</v>
      </c>
      <c r="M46" s="65" t="str">
        <f t="shared" si="2"/>
        <v>Nefakturováno</v>
      </c>
      <c r="N46" s="18">
        <f t="shared" si="3"/>
        <v>0</v>
      </c>
      <c r="O46" s="18">
        <f t="shared" si="4"/>
        <v>-100</v>
      </c>
      <c r="AE46" s="18">
        <v>0</v>
      </c>
    </row>
    <row r="47" spans="1:31" ht="12.75">
      <c r="A47" s="6" t="s">
        <v>38</v>
      </c>
      <c r="B47" s="6" t="s">
        <v>198</v>
      </c>
      <c r="C47" s="6" t="s">
        <v>233</v>
      </c>
      <c r="D47" s="156" t="s">
        <v>385</v>
      </c>
      <c r="E47" s="157"/>
      <c r="F47" s="18">
        <f>'Výkaz výměr'!J51</f>
        <v>0</v>
      </c>
      <c r="G47" s="18">
        <v>0</v>
      </c>
      <c r="H47" s="18">
        <f t="shared" si="0"/>
        <v>0</v>
      </c>
      <c r="I47" s="18">
        <f t="shared" si="1"/>
        <v>0</v>
      </c>
      <c r="J47" s="18">
        <f>'Výkaz výměr'!F51</f>
        <v>22.7375</v>
      </c>
      <c r="K47" s="18">
        <v>0</v>
      </c>
      <c r="L47" s="57">
        <v>22.7375</v>
      </c>
      <c r="M47" s="65" t="str">
        <f t="shared" si="2"/>
        <v>Nefakturováno</v>
      </c>
      <c r="N47" s="18">
        <f t="shared" si="3"/>
        <v>0</v>
      </c>
      <c r="O47" s="18">
        <f t="shared" si="4"/>
        <v>-100</v>
      </c>
      <c r="AE47" s="18">
        <v>0</v>
      </c>
    </row>
    <row r="48" spans="1:31" ht="12.75">
      <c r="A48" s="6" t="s">
        <v>39</v>
      </c>
      <c r="B48" s="6" t="s">
        <v>198</v>
      </c>
      <c r="C48" s="6" t="s">
        <v>234</v>
      </c>
      <c r="D48" s="156" t="s">
        <v>386</v>
      </c>
      <c r="E48" s="157"/>
      <c r="F48" s="18">
        <f>'Výkaz výměr'!J52</f>
        <v>0</v>
      </c>
      <c r="G48" s="18">
        <v>0</v>
      </c>
      <c r="H48" s="18">
        <f t="shared" si="0"/>
        <v>0</v>
      </c>
      <c r="I48" s="18">
        <f t="shared" si="1"/>
        <v>0</v>
      </c>
      <c r="J48" s="18">
        <f>'Výkaz výměr'!F52</f>
        <v>181.9</v>
      </c>
      <c r="K48" s="18">
        <v>0</v>
      </c>
      <c r="L48" s="57">
        <v>181.9</v>
      </c>
      <c r="M48" s="65" t="str">
        <f t="shared" si="2"/>
        <v>Nefakturováno</v>
      </c>
      <c r="N48" s="18">
        <f t="shared" si="3"/>
        <v>0</v>
      </c>
      <c r="O48" s="18">
        <f t="shared" si="4"/>
        <v>-100</v>
      </c>
      <c r="AE48" s="18">
        <v>0</v>
      </c>
    </row>
    <row r="49" spans="1:31" ht="12.75">
      <c r="A49" s="12"/>
      <c r="B49" s="12" t="s">
        <v>198</v>
      </c>
      <c r="C49" s="12" t="s">
        <v>8</v>
      </c>
      <c r="D49" s="158" t="s">
        <v>387</v>
      </c>
      <c r="E49" s="159"/>
      <c r="F49" s="36">
        <f>SUM(F50:F87)</f>
        <v>0</v>
      </c>
      <c r="G49" s="36">
        <f>SUM(G50:G87)</f>
        <v>0</v>
      </c>
      <c r="H49" s="36">
        <f t="shared" si="0"/>
        <v>0</v>
      </c>
      <c r="I49" s="36">
        <f t="shared" si="1"/>
        <v>0</v>
      </c>
      <c r="J49" s="36">
        <f>SUM(J50:J87)</f>
        <v>2915.8019999999997</v>
      </c>
      <c r="K49" s="36">
        <f>SUM(K50:K87)</f>
        <v>0</v>
      </c>
      <c r="L49" s="60">
        <f>J49-K49</f>
        <v>2915.8019999999997</v>
      </c>
      <c r="M49" s="63" t="str">
        <f t="shared" si="2"/>
        <v>Nefakturováno</v>
      </c>
      <c r="N49" s="36">
        <f t="shared" si="3"/>
        <v>0</v>
      </c>
      <c r="O49" s="36">
        <f t="shared" si="4"/>
        <v>-100</v>
      </c>
      <c r="AE49" s="18">
        <v>0</v>
      </c>
    </row>
    <row r="50" spans="1:31" ht="12.75">
      <c r="A50" s="6" t="s">
        <v>40</v>
      </c>
      <c r="B50" s="6" t="s">
        <v>198</v>
      </c>
      <c r="C50" s="6" t="s">
        <v>235</v>
      </c>
      <c r="D50" s="156" t="s">
        <v>388</v>
      </c>
      <c r="E50" s="157"/>
      <c r="F50" s="18">
        <f>'Výkaz výměr'!J54</f>
        <v>0</v>
      </c>
      <c r="G50" s="18">
        <v>0</v>
      </c>
      <c r="H50" s="18">
        <f t="shared" si="0"/>
        <v>0</v>
      </c>
      <c r="I50" s="18">
        <f t="shared" si="1"/>
        <v>0</v>
      </c>
      <c r="J50" s="18">
        <f>'Výkaz výměr'!F54</f>
        <v>247.4</v>
      </c>
      <c r="K50" s="18">
        <v>0</v>
      </c>
      <c r="L50" s="57">
        <v>247.4</v>
      </c>
      <c r="M50" s="65" t="str">
        <f t="shared" si="2"/>
        <v>Nefakturováno</v>
      </c>
      <c r="N50" s="18">
        <f t="shared" si="3"/>
        <v>0</v>
      </c>
      <c r="O50" s="18">
        <f t="shared" si="4"/>
        <v>-100</v>
      </c>
      <c r="AE50" s="18">
        <v>0</v>
      </c>
    </row>
    <row r="51" spans="1:31" ht="12.75">
      <c r="A51" s="5" t="s">
        <v>41</v>
      </c>
      <c r="B51" s="5" t="s">
        <v>198</v>
      </c>
      <c r="C51" s="5" t="s">
        <v>236</v>
      </c>
      <c r="D51" s="154" t="s">
        <v>389</v>
      </c>
      <c r="E51" s="155"/>
      <c r="F51" s="17">
        <f>'Výkaz výměr'!J55</f>
        <v>0</v>
      </c>
      <c r="G51" s="17">
        <v>0</v>
      </c>
      <c r="H51" s="17">
        <f t="shared" si="0"/>
        <v>0</v>
      </c>
      <c r="I51" s="17">
        <f t="shared" si="1"/>
        <v>0</v>
      </c>
      <c r="J51" s="17">
        <f>'Výkaz výměr'!F55</f>
        <v>254.822</v>
      </c>
      <c r="K51" s="17">
        <v>0</v>
      </c>
      <c r="L51" s="56">
        <v>254.822</v>
      </c>
      <c r="M51" s="64" t="str">
        <f t="shared" si="2"/>
        <v>Nefakturováno</v>
      </c>
      <c r="N51" s="17">
        <f t="shared" si="3"/>
        <v>0</v>
      </c>
      <c r="O51" s="17">
        <f t="shared" si="4"/>
        <v>-100</v>
      </c>
      <c r="AE51" s="17">
        <v>0</v>
      </c>
    </row>
    <row r="52" spans="1:31" ht="12.75">
      <c r="A52" s="6" t="s">
        <v>42</v>
      </c>
      <c r="B52" s="6" t="s">
        <v>198</v>
      </c>
      <c r="C52" s="6" t="s">
        <v>237</v>
      </c>
      <c r="D52" s="156" t="s">
        <v>390</v>
      </c>
      <c r="E52" s="157"/>
      <c r="F52" s="18">
        <f>'Výkaz výměr'!J56</f>
        <v>0</v>
      </c>
      <c r="G52" s="18">
        <v>0</v>
      </c>
      <c r="H52" s="18">
        <f t="shared" si="0"/>
        <v>0</v>
      </c>
      <c r="I52" s="18">
        <f t="shared" si="1"/>
        <v>0</v>
      </c>
      <c r="J52" s="18">
        <f>'Výkaz výměr'!F56</f>
        <v>247.4</v>
      </c>
      <c r="K52" s="18">
        <v>0</v>
      </c>
      <c r="L52" s="57">
        <v>247.4</v>
      </c>
      <c r="M52" s="65" t="str">
        <f t="shared" si="2"/>
        <v>Nefakturováno</v>
      </c>
      <c r="N52" s="18">
        <f t="shared" si="3"/>
        <v>0</v>
      </c>
      <c r="O52" s="18">
        <f t="shared" si="4"/>
        <v>-100</v>
      </c>
      <c r="AE52" s="18">
        <v>0</v>
      </c>
    </row>
    <row r="53" spans="1:31" ht="12.75">
      <c r="A53" s="6" t="s">
        <v>43</v>
      </c>
      <c r="B53" s="6" t="s">
        <v>198</v>
      </c>
      <c r="C53" s="6" t="s">
        <v>238</v>
      </c>
      <c r="D53" s="156" t="s">
        <v>391</v>
      </c>
      <c r="E53" s="157"/>
      <c r="F53" s="18">
        <f>'Výkaz výměr'!J57</f>
        <v>0</v>
      </c>
      <c r="G53" s="18">
        <v>0</v>
      </c>
      <c r="H53" s="18">
        <f t="shared" si="0"/>
        <v>0</v>
      </c>
      <c r="I53" s="18">
        <f t="shared" si="1"/>
        <v>0</v>
      </c>
      <c r="J53" s="18">
        <f>'Výkaz výměr'!F57</f>
        <v>259</v>
      </c>
      <c r="K53" s="18">
        <v>0</v>
      </c>
      <c r="L53" s="57">
        <v>259</v>
      </c>
      <c r="M53" s="65" t="str">
        <f t="shared" si="2"/>
        <v>Nefakturováno</v>
      </c>
      <c r="N53" s="18">
        <f t="shared" si="3"/>
        <v>0</v>
      </c>
      <c r="O53" s="18">
        <f t="shared" si="4"/>
        <v>-100</v>
      </c>
      <c r="AE53" s="18">
        <v>0</v>
      </c>
    </row>
    <row r="54" spans="1:31" ht="12.75">
      <c r="A54" s="5" t="s">
        <v>44</v>
      </c>
      <c r="B54" s="5" t="s">
        <v>198</v>
      </c>
      <c r="C54" s="5" t="s">
        <v>239</v>
      </c>
      <c r="D54" s="154" t="s">
        <v>392</v>
      </c>
      <c r="E54" s="155"/>
      <c r="F54" s="17">
        <f>'Výkaz výměr'!J58</f>
        <v>0</v>
      </c>
      <c r="G54" s="17">
        <v>0</v>
      </c>
      <c r="H54" s="17">
        <f t="shared" si="0"/>
        <v>0</v>
      </c>
      <c r="I54" s="17">
        <f t="shared" si="1"/>
        <v>0</v>
      </c>
      <c r="J54" s="17">
        <f>'Výkaz výměr'!F58</f>
        <v>266.77</v>
      </c>
      <c r="K54" s="17">
        <v>0</v>
      </c>
      <c r="L54" s="56">
        <v>266.77</v>
      </c>
      <c r="M54" s="64" t="str">
        <f t="shared" si="2"/>
        <v>Nefakturováno</v>
      </c>
      <c r="N54" s="17">
        <f t="shared" si="3"/>
        <v>0</v>
      </c>
      <c r="O54" s="17">
        <f t="shared" si="4"/>
        <v>-100</v>
      </c>
      <c r="AE54" s="17">
        <v>0</v>
      </c>
    </row>
    <row r="55" spans="1:31" ht="12.75">
      <c r="A55" s="5" t="s">
        <v>45</v>
      </c>
      <c r="B55" s="5" t="s">
        <v>198</v>
      </c>
      <c r="C55" s="5" t="s">
        <v>240</v>
      </c>
      <c r="D55" s="154" t="s">
        <v>393</v>
      </c>
      <c r="E55" s="155"/>
      <c r="F55" s="17">
        <f>'Výkaz výměr'!J59</f>
        <v>0</v>
      </c>
      <c r="G55" s="17">
        <v>0</v>
      </c>
      <c r="H55" s="17">
        <f t="shared" si="0"/>
        <v>0</v>
      </c>
      <c r="I55" s="17">
        <f t="shared" si="1"/>
        <v>0</v>
      </c>
      <c r="J55" s="17">
        <f>'Výkaz výměr'!F59</f>
        <v>272.14</v>
      </c>
      <c r="K55" s="17">
        <v>0</v>
      </c>
      <c r="L55" s="56">
        <v>272.14</v>
      </c>
      <c r="M55" s="64" t="str">
        <f t="shared" si="2"/>
        <v>Nefakturováno</v>
      </c>
      <c r="N55" s="17">
        <f t="shared" si="3"/>
        <v>0</v>
      </c>
      <c r="O55" s="17">
        <f t="shared" si="4"/>
        <v>-100</v>
      </c>
      <c r="AE55" s="17">
        <v>0</v>
      </c>
    </row>
    <row r="56" spans="1:31" ht="12.75">
      <c r="A56" s="5" t="s">
        <v>46</v>
      </c>
      <c r="B56" s="5" t="s">
        <v>198</v>
      </c>
      <c r="C56" s="5" t="s">
        <v>241</v>
      </c>
      <c r="D56" s="154" t="s">
        <v>394</v>
      </c>
      <c r="E56" s="155"/>
      <c r="F56" s="17">
        <f>'Výkaz výměr'!J60</f>
        <v>0</v>
      </c>
      <c r="G56" s="17">
        <v>0</v>
      </c>
      <c r="H56" s="17">
        <f t="shared" si="0"/>
        <v>0</v>
      </c>
      <c r="I56" s="17">
        <f t="shared" si="1"/>
        <v>0</v>
      </c>
      <c r="J56" s="17">
        <f>'Výkaz výměr'!F60</f>
        <v>2</v>
      </c>
      <c r="K56" s="17">
        <v>0</v>
      </c>
      <c r="L56" s="56">
        <v>2</v>
      </c>
      <c r="M56" s="64" t="str">
        <f t="shared" si="2"/>
        <v>Nefakturováno</v>
      </c>
      <c r="N56" s="17">
        <f t="shared" si="3"/>
        <v>0</v>
      </c>
      <c r="O56" s="17">
        <f t="shared" si="4"/>
        <v>-100</v>
      </c>
      <c r="AE56" s="17">
        <v>0</v>
      </c>
    </row>
    <row r="57" spans="1:31" ht="12.75">
      <c r="A57" s="5" t="s">
        <v>47</v>
      </c>
      <c r="B57" s="5" t="s">
        <v>198</v>
      </c>
      <c r="C57" s="5" t="s">
        <v>242</v>
      </c>
      <c r="D57" s="154" t="s">
        <v>395</v>
      </c>
      <c r="E57" s="155"/>
      <c r="F57" s="17">
        <f>'Výkaz výměr'!J61</f>
        <v>0</v>
      </c>
      <c r="G57" s="17">
        <v>0</v>
      </c>
      <c r="H57" s="17">
        <f t="shared" si="0"/>
        <v>0</v>
      </c>
      <c r="I57" s="17">
        <f t="shared" si="1"/>
        <v>0</v>
      </c>
      <c r="J57" s="17">
        <f>'Výkaz výměr'!F61</f>
        <v>2</v>
      </c>
      <c r="K57" s="17">
        <v>0</v>
      </c>
      <c r="L57" s="56">
        <v>2</v>
      </c>
      <c r="M57" s="64" t="str">
        <f t="shared" si="2"/>
        <v>Nefakturováno</v>
      </c>
      <c r="N57" s="17">
        <f t="shared" si="3"/>
        <v>0</v>
      </c>
      <c r="O57" s="17">
        <f t="shared" si="4"/>
        <v>-100</v>
      </c>
      <c r="AE57" s="17">
        <v>0</v>
      </c>
    </row>
    <row r="58" spans="1:31" ht="12.75">
      <c r="A58" s="5" t="s">
        <v>48</v>
      </c>
      <c r="B58" s="5" t="s">
        <v>198</v>
      </c>
      <c r="C58" s="5" t="s">
        <v>243</v>
      </c>
      <c r="D58" s="154" t="s">
        <v>396</v>
      </c>
      <c r="E58" s="155"/>
      <c r="F58" s="17">
        <f>'Výkaz výměr'!J62</f>
        <v>0</v>
      </c>
      <c r="G58" s="17">
        <v>0</v>
      </c>
      <c r="H58" s="17">
        <f t="shared" si="0"/>
        <v>0</v>
      </c>
      <c r="I58" s="17">
        <f t="shared" si="1"/>
        <v>0</v>
      </c>
      <c r="J58" s="17">
        <f>'Výkaz výměr'!F62</f>
        <v>4</v>
      </c>
      <c r="K58" s="17">
        <v>0</v>
      </c>
      <c r="L58" s="56">
        <v>4</v>
      </c>
      <c r="M58" s="64" t="str">
        <f t="shared" si="2"/>
        <v>Nefakturováno</v>
      </c>
      <c r="N58" s="17">
        <f t="shared" si="3"/>
        <v>0</v>
      </c>
      <c r="O58" s="17">
        <f t="shared" si="4"/>
        <v>-100</v>
      </c>
      <c r="AE58" s="17">
        <v>0</v>
      </c>
    </row>
    <row r="59" spans="1:31" ht="12.75">
      <c r="A59" s="5" t="s">
        <v>49</v>
      </c>
      <c r="B59" s="5" t="s">
        <v>198</v>
      </c>
      <c r="C59" s="5" t="s">
        <v>244</v>
      </c>
      <c r="D59" s="154" t="s">
        <v>397</v>
      </c>
      <c r="E59" s="155"/>
      <c r="F59" s="17">
        <f>'Výkaz výměr'!J63</f>
        <v>0</v>
      </c>
      <c r="G59" s="17">
        <v>0</v>
      </c>
      <c r="H59" s="17">
        <f t="shared" si="0"/>
        <v>0</v>
      </c>
      <c r="I59" s="17">
        <f t="shared" si="1"/>
        <v>0</v>
      </c>
      <c r="J59" s="17">
        <f>'Výkaz výměr'!F63</f>
        <v>24</v>
      </c>
      <c r="K59" s="17">
        <v>0</v>
      </c>
      <c r="L59" s="56">
        <v>24</v>
      </c>
      <c r="M59" s="64" t="str">
        <f t="shared" si="2"/>
        <v>Nefakturováno</v>
      </c>
      <c r="N59" s="17">
        <f t="shared" si="3"/>
        <v>0</v>
      </c>
      <c r="O59" s="17">
        <f t="shared" si="4"/>
        <v>-100</v>
      </c>
      <c r="AE59" s="17">
        <v>0</v>
      </c>
    </row>
    <row r="60" spans="1:31" ht="12.75">
      <c r="A60" s="6" t="s">
        <v>50</v>
      </c>
      <c r="B60" s="6" t="s">
        <v>198</v>
      </c>
      <c r="C60" s="6" t="s">
        <v>245</v>
      </c>
      <c r="D60" s="156" t="s">
        <v>398</v>
      </c>
      <c r="E60" s="157"/>
      <c r="F60" s="18">
        <f>'Výkaz výměr'!J64</f>
        <v>0</v>
      </c>
      <c r="G60" s="18">
        <v>0</v>
      </c>
      <c r="H60" s="18">
        <f t="shared" si="0"/>
        <v>0</v>
      </c>
      <c r="I60" s="18">
        <f t="shared" si="1"/>
        <v>0</v>
      </c>
      <c r="J60" s="18">
        <f>'Výkaz výměr'!F64</f>
        <v>26</v>
      </c>
      <c r="K60" s="18">
        <v>0</v>
      </c>
      <c r="L60" s="57">
        <v>26</v>
      </c>
      <c r="M60" s="65" t="str">
        <f t="shared" si="2"/>
        <v>Nefakturováno</v>
      </c>
      <c r="N60" s="18">
        <f t="shared" si="3"/>
        <v>0</v>
      </c>
      <c r="O60" s="18">
        <f t="shared" si="4"/>
        <v>-100</v>
      </c>
      <c r="AE60" s="18">
        <v>0</v>
      </c>
    </row>
    <row r="61" spans="1:31" ht="12.75">
      <c r="A61" s="5" t="s">
        <v>51</v>
      </c>
      <c r="B61" s="5" t="s">
        <v>198</v>
      </c>
      <c r="C61" s="5" t="s">
        <v>246</v>
      </c>
      <c r="D61" s="154" t="s">
        <v>399</v>
      </c>
      <c r="E61" s="155"/>
      <c r="F61" s="17">
        <f>'Výkaz výměr'!J65</f>
        <v>0</v>
      </c>
      <c r="G61" s="17">
        <v>0</v>
      </c>
      <c r="H61" s="17">
        <f t="shared" si="0"/>
        <v>0</v>
      </c>
      <c r="I61" s="17">
        <f t="shared" si="1"/>
        <v>0</v>
      </c>
      <c r="J61" s="17">
        <f>'Výkaz výměr'!F65</f>
        <v>24</v>
      </c>
      <c r="K61" s="17">
        <v>0</v>
      </c>
      <c r="L61" s="56">
        <v>24</v>
      </c>
      <c r="M61" s="64" t="str">
        <f t="shared" si="2"/>
        <v>Nefakturováno</v>
      </c>
      <c r="N61" s="17">
        <f t="shared" si="3"/>
        <v>0</v>
      </c>
      <c r="O61" s="17">
        <f t="shared" si="4"/>
        <v>-100</v>
      </c>
      <c r="AE61" s="17">
        <v>0</v>
      </c>
    </row>
    <row r="62" spans="1:31" ht="12.75">
      <c r="A62" s="6" t="s">
        <v>52</v>
      </c>
      <c r="B62" s="6" t="s">
        <v>198</v>
      </c>
      <c r="C62" s="6" t="s">
        <v>247</v>
      </c>
      <c r="D62" s="156" t="s">
        <v>400</v>
      </c>
      <c r="E62" s="157"/>
      <c r="F62" s="18">
        <f>'Výkaz výměr'!J66</f>
        <v>0</v>
      </c>
      <c r="G62" s="18">
        <v>0</v>
      </c>
      <c r="H62" s="18">
        <f t="shared" si="0"/>
        <v>0</v>
      </c>
      <c r="I62" s="18">
        <f t="shared" si="1"/>
        <v>0</v>
      </c>
      <c r="J62" s="18">
        <f>'Výkaz výměr'!F66</f>
        <v>24</v>
      </c>
      <c r="K62" s="18">
        <v>0</v>
      </c>
      <c r="L62" s="57">
        <v>24</v>
      </c>
      <c r="M62" s="65" t="str">
        <f t="shared" si="2"/>
        <v>Nefakturováno</v>
      </c>
      <c r="N62" s="18">
        <f t="shared" si="3"/>
        <v>0</v>
      </c>
      <c r="O62" s="18">
        <f t="shared" si="4"/>
        <v>-100</v>
      </c>
      <c r="AE62" s="18">
        <v>0</v>
      </c>
    </row>
    <row r="63" spans="1:31" ht="12.75">
      <c r="A63" s="6" t="s">
        <v>53</v>
      </c>
      <c r="B63" s="6" t="s">
        <v>198</v>
      </c>
      <c r="C63" s="6" t="s">
        <v>248</v>
      </c>
      <c r="D63" s="156" t="s">
        <v>401</v>
      </c>
      <c r="E63" s="157"/>
      <c r="F63" s="18">
        <f>'Výkaz výměr'!J67</f>
        <v>0</v>
      </c>
      <c r="G63" s="18">
        <v>0</v>
      </c>
      <c r="H63" s="18">
        <f t="shared" si="0"/>
        <v>0</v>
      </c>
      <c r="I63" s="18">
        <f t="shared" si="1"/>
        <v>0</v>
      </c>
      <c r="J63" s="18">
        <f>'Výkaz výměr'!F67</f>
        <v>24</v>
      </c>
      <c r="K63" s="18">
        <v>0</v>
      </c>
      <c r="L63" s="57">
        <v>24</v>
      </c>
      <c r="M63" s="65" t="str">
        <f t="shared" si="2"/>
        <v>Nefakturováno</v>
      </c>
      <c r="N63" s="18">
        <f t="shared" si="3"/>
        <v>0</v>
      </c>
      <c r="O63" s="18">
        <f t="shared" si="4"/>
        <v>-100</v>
      </c>
      <c r="AE63" s="18">
        <v>0</v>
      </c>
    </row>
    <row r="64" spans="1:31" ht="12.75">
      <c r="A64" s="6" t="s">
        <v>54</v>
      </c>
      <c r="B64" s="6" t="s">
        <v>198</v>
      </c>
      <c r="C64" s="6" t="s">
        <v>249</v>
      </c>
      <c r="D64" s="156" t="s">
        <v>402</v>
      </c>
      <c r="E64" s="157"/>
      <c r="F64" s="18">
        <f>'Výkaz výměr'!J68</f>
        <v>0</v>
      </c>
      <c r="G64" s="18">
        <v>0</v>
      </c>
      <c r="H64" s="18">
        <f t="shared" si="0"/>
        <v>0</v>
      </c>
      <c r="I64" s="18">
        <f t="shared" si="1"/>
        <v>0</v>
      </c>
      <c r="J64" s="18">
        <f>'Výkaz výměr'!F68</f>
        <v>6</v>
      </c>
      <c r="K64" s="18">
        <v>0</v>
      </c>
      <c r="L64" s="57">
        <v>6</v>
      </c>
      <c r="M64" s="65" t="str">
        <f t="shared" si="2"/>
        <v>Nefakturováno</v>
      </c>
      <c r="N64" s="18">
        <f t="shared" si="3"/>
        <v>0</v>
      </c>
      <c r="O64" s="18">
        <f t="shared" si="4"/>
        <v>-100</v>
      </c>
      <c r="AE64" s="18">
        <v>0</v>
      </c>
    </row>
    <row r="65" spans="1:31" ht="12.75">
      <c r="A65" s="6" t="s">
        <v>55</v>
      </c>
      <c r="B65" s="6" t="s">
        <v>198</v>
      </c>
      <c r="C65" s="6" t="s">
        <v>250</v>
      </c>
      <c r="D65" s="156" t="s">
        <v>403</v>
      </c>
      <c r="E65" s="157"/>
      <c r="F65" s="18">
        <f>'Výkaz výměr'!J69</f>
        <v>0</v>
      </c>
      <c r="G65" s="18">
        <v>0</v>
      </c>
      <c r="H65" s="18">
        <f t="shared" si="0"/>
        <v>0</v>
      </c>
      <c r="I65" s="18">
        <f t="shared" si="1"/>
        <v>0</v>
      </c>
      <c r="J65" s="18">
        <f>'Výkaz výměr'!F69</f>
        <v>4</v>
      </c>
      <c r="K65" s="18">
        <v>0</v>
      </c>
      <c r="L65" s="57">
        <v>4</v>
      </c>
      <c r="M65" s="65" t="str">
        <f t="shared" si="2"/>
        <v>Nefakturováno</v>
      </c>
      <c r="N65" s="18">
        <f t="shared" si="3"/>
        <v>0</v>
      </c>
      <c r="O65" s="18">
        <f t="shared" si="4"/>
        <v>-100</v>
      </c>
      <c r="AE65" s="18">
        <v>0</v>
      </c>
    </row>
    <row r="66" spans="1:31" ht="12.75">
      <c r="A66" s="6" t="s">
        <v>56</v>
      </c>
      <c r="B66" s="6" t="s">
        <v>198</v>
      </c>
      <c r="C66" s="6" t="s">
        <v>251</v>
      </c>
      <c r="D66" s="156" t="s">
        <v>404</v>
      </c>
      <c r="E66" s="157"/>
      <c r="F66" s="18">
        <f>'Výkaz výměr'!J70</f>
        <v>0</v>
      </c>
      <c r="G66" s="18">
        <v>0</v>
      </c>
      <c r="H66" s="18">
        <f t="shared" si="0"/>
        <v>0</v>
      </c>
      <c r="I66" s="18">
        <f t="shared" si="1"/>
        <v>0</v>
      </c>
      <c r="J66" s="18">
        <f>'Výkaz výměr'!F70</f>
        <v>20</v>
      </c>
      <c r="K66" s="18">
        <v>0</v>
      </c>
      <c r="L66" s="57">
        <v>20</v>
      </c>
      <c r="M66" s="65" t="str">
        <f t="shared" si="2"/>
        <v>Nefakturováno</v>
      </c>
      <c r="N66" s="18">
        <f t="shared" si="3"/>
        <v>0</v>
      </c>
      <c r="O66" s="18">
        <f t="shared" si="4"/>
        <v>-100</v>
      </c>
      <c r="AE66" s="18">
        <v>0</v>
      </c>
    </row>
    <row r="67" spans="1:31" ht="12.75">
      <c r="A67" s="5" t="s">
        <v>57</v>
      </c>
      <c r="B67" s="5" t="s">
        <v>198</v>
      </c>
      <c r="C67" s="5" t="s">
        <v>252</v>
      </c>
      <c r="D67" s="154" t="s">
        <v>405</v>
      </c>
      <c r="E67" s="155"/>
      <c r="F67" s="17">
        <f>'Výkaz výměr'!J71</f>
        <v>0</v>
      </c>
      <c r="G67" s="17">
        <v>0</v>
      </c>
      <c r="H67" s="17">
        <f t="shared" si="0"/>
        <v>0</v>
      </c>
      <c r="I67" s="17">
        <f t="shared" si="1"/>
        <v>0</v>
      </c>
      <c r="J67" s="17">
        <f>'Výkaz výměr'!F71</f>
        <v>20</v>
      </c>
      <c r="K67" s="17">
        <v>0</v>
      </c>
      <c r="L67" s="56">
        <v>20</v>
      </c>
      <c r="M67" s="64" t="str">
        <f t="shared" si="2"/>
        <v>Nefakturováno</v>
      </c>
      <c r="N67" s="17">
        <f t="shared" si="3"/>
        <v>0</v>
      </c>
      <c r="O67" s="17">
        <f t="shared" si="4"/>
        <v>-100</v>
      </c>
      <c r="AE67" s="17">
        <v>0</v>
      </c>
    </row>
    <row r="68" spans="1:31" ht="12.75">
      <c r="A68" s="6" t="s">
        <v>58</v>
      </c>
      <c r="B68" s="6" t="s">
        <v>198</v>
      </c>
      <c r="C68" s="6" t="s">
        <v>253</v>
      </c>
      <c r="D68" s="156" t="s">
        <v>406</v>
      </c>
      <c r="E68" s="157"/>
      <c r="F68" s="18">
        <f>'Výkaz výměr'!J72</f>
        <v>0</v>
      </c>
      <c r="G68" s="18">
        <v>0</v>
      </c>
      <c r="H68" s="18">
        <f t="shared" si="0"/>
        <v>0</v>
      </c>
      <c r="I68" s="18">
        <f t="shared" si="1"/>
        <v>0</v>
      </c>
      <c r="J68" s="18">
        <f>'Výkaz výměr'!F72</f>
        <v>31</v>
      </c>
      <c r="K68" s="18">
        <v>0</v>
      </c>
      <c r="L68" s="57">
        <v>31</v>
      </c>
      <c r="M68" s="65" t="str">
        <f t="shared" si="2"/>
        <v>Nefakturováno</v>
      </c>
      <c r="N68" s="18">
        <f t="shared" si="3"/>
        <v>0</v>
      </c>
      <c r="O68" s="18">
        <f t="shared" si="4"/>
        <v>-100</v>
      </c>
      <c r="AE68" s="18">
        <v>0</v>
      </c>
    </row>
    <row r="69" spans="1:31" ht="12.75">
      <c r="A69" s="5" t="s">
        <v>59</v>
      </c>
      <c r="B69" s="5" t="s">
        <v>198</v>
      </c>
      <c r="C69" s="5" t="s">
        <v>254</v>
      </c>
      <c r="D69" s="154" t="s">
        <v>407</v>
      </c>
      <c r="E69" s="155"/>
      <c r="F69" s="17">
        <f>'Výkaz výměr'!J73</f>
        <v>0</v>
      </c>
      <c r="G69" s="17">
        <v>0</v>
      </c>
      <c r="H69" s="17">
        <f t="shared" si="0"/>
        <v>0</v>
      </c>
      <c r="I69" s="17">
        <f t="shared" si="1"/>
        <v>0</v>
      </c>
      <c r="J69" s="17">
        <f>'Výkaz výměr'!F73</f>
        <v>31</v>
      </c>
      <c r="K69" s="17">
        <v>0</v>
      </c>
      <c r="L69" s="56">
        <v>31</v>
      </c>
      <c r="M69" s="64" t="str">
        <f t="shared" si="2"/>
        <v>Nefakturováno</v>
      </c>
      <c r="N69" s="17">
        <f t="shared" si="3"/>
        <v>0</v>
      </c>
      <c r="O69" s="17">
        <f t="shared" si="4"/>
        <v>-100</v>
      </c>
      <c r="AE69" s="17">
        <v>0</v>
      </c>
    </row>
    <row r="70" spans="1:31" ht="12.75">
      <c r="A70" s="6" t="s">
        <v>60</v>
      </c>
      <c r="B70" s="6" t="s">
        <v>198</v>
      </c>
      <c r="C70" s="6" t="s">
        <v>255</v>
      </c>
      <c r="D70" s="156" t="s">
        <v>408</v>
      </c>
      <c r="E70" s="157"/>
      <c r="F70" s="18">
        <f>'Výkaz výměr'!J74</f>
        <v>0</v>
      </c>
      <c r="G70" s="18">
        <v>0</v>
      </c>
      <c r="H70" s="18">
        <f t="shared" si="0"/>
        <v>0</v>
      </c>
      <c r="I70" s="18">
        <f t="shared" si="1"/>
        <v>0</v>
      </c>
      <c r="J70" s="18">
        <f>'Výkaz výměr'!F74</f>
        <v>247.4</v>
      </c>
      <c r="K70" s="18">
        <v>0</v>
      </c>
      <c r="L70" s="57">
        <v>247.4</v>
      </c>
      <c r="M70" s="65" t="str">
        <f t="shared" si="2"/>
        <v>Nefakturováno</v>
      </c>
      <c r="N70" s="18">
        <f t="shared" si="3"/>
        <v>0</v>
      </c>
      <c r="O70" s="18">
        <f t="shared" si="4"/>
        <v>-100</v>
      </c>
      <c r="AE70" s="18">
        <v>0</v>
      </c>
    </row>
    <row r="71" spans="1:31" ht="12.75">
      <c r="A71" s="6" t="s">
        <v>61</v>
      </c>
      <c r="B71" s="6" t="s">
        <v>198</v>
      </c>
      <c r="C71" s="6" t="s">
        <v>256</v>
      </c>
      <c r="D71" s="156" t="s">
        <v>409</v>
      </c>
      <c r="E71" s="157"/>
      <c r="F71" s="18">
        <f>'Výkaz výměr'!J75</f>
        <v>0</v>
      </c>
      <c r="G71" s="18">
        <v>0</v>
      </c>
      <c r="H71" s="18">
        <f t="shared" si="0"/>
        <v>0</v>
      </c>
      <c r="I71" s="18">
        <f t="shared" si="1"/>
        <v>0</v>
      </c>
      <c r="J71" s="18">
        <f>'Výkaz výměr'!F75</f>
        <v>24.7</v>
      </c>
      <c r="K71" s="18">
        <v>0</v>
      </c>
      <c r="L71" s="57">
        <v>24.7</v>
      </c>
      <c r="M71" s="65" t="str">
        <f t="shared" si="2"/>
        <v>Nefakturováno</v>
      </c>
      <c r="N71" s="18">
        <f t="shared" si="3"/>
        <v>0</v>
      </c>
      <c r="O71" s="18">
        <f t="shared" si="4"/>
        <v>-100</v>
      </c>
      <c r="AE71" s="18">
        <v>0</v>
      </c>
    </row>
    <row r="72" spans="1:31" ht="12.75">
      <c r="A72" s="6" t="s">
        <v>62</v>
      </c>
      <c r="B72" s="6" t="s">
        <v>198</v>
      </c>
      <c r="C72" s="6" t="s">
        <v>257</v>
      </c>
      <c r="D72" s="156" t="s">
        <v>410</v>
      </c>
      <c r="E72" s="157"/>
      <c r="F72" s="18">
        <f>'Výkaz výměr'!J76</f>
        <v>0</v>
      </c>
      <c r="G72" s="18">
        <v>0</v>
      </c>
      <c r="H72" s="18">
        <f t="shared" si="0"/>
        <v>0</v>
      </c>
      <c r="I72" s="18">
        <f t="shared" si="1"/>
        <v>0</v>
      </c>
      <c r="J72" s="18">
        <f>'Výkaz výměr'!F76</f>
        <v>74.22</v>
      </c>
      <c r="K72" s="18">
        <v>0</v>
      </c>
      <c r="L72" s="57">
        <v>74.22</v>
      </c>
      <c r="M72" s="65" t="str">
        <f t="shared" si="2"/>
        <v>Nefakturováno</v>
      </c>
      <c r="N72" s="18">
        <f t="shared" si="3"/>
        <v>0</v>
      </c>
      <c r="O72" s="18">
        <f t="shared" si="4"/>
        <v>-100</v>
      </c>
      <c r="AE72" s="18">
        <v>0</v>
      </c>
    </row>
    <row r="73" spans="1:31" ht="12.75">
      <c r="A73" s="6" t="s">
        <v>63</v>
      </c>
      <c r="B73" s="6" t="s">
        <v>198</v>
      </c>
      <c r="C73" s="6" t="s">
        <v>258</v>
      </c>
      <c r="D73" s="156" t="s">
        <v>412</v>
      </c>
      <c r="E73" s="157"/>
      <c r="F73" s="18">
        <f>'Výkaz výměr'!J78</f>
        <v>0</v>
      </c>
      <c r="G73" s="18">
        <v>0</v>
      </c>
      <c r="H73" s="18">
        <f t="shared" si="0"/>
        <v>0</v>
      </c>
      <c r="I73" s="18">
        <f t="shared" si="1"/>
        <v>0</v>
      </c>
      <c r="J73" s="18">
        <f>'Výkaz výměr'!F78</f>
        <v>247</v>
      </c>
      <c r="K73" s="18">
        <v>0</v>
      </c>
      <c r="L73" s="57">
        <v>247</v>
      </c>
      <c r="M73" s="65" t="str">
        <f t="shared" si="2"/>
        <v>Nefakturováno</v>
      </c>
      <c r="N73" s="18">
        <f t="shared" si="3"/>
        <v>0</v>
      </c>
      <c r="O73" s="18">
        <f t="shared" si="4"/>
        <v>-100</v>
      </c>
      <c r="AE73" s="18">
        <v>0</v>
      </c>
    </row>
    <row r="74" spans="1:31" ht="12.75">
      <c r="A74" s="5" t="s">
        <v>64</v>
      </c>
      <c r="B74" s="5" t="s">
        <v>198</v>
      </c>
      <c r="C74" s="5" t="s">
        <v>259</v>
      </c>
      <c r="D74" s="154" t="s">
        <v>413</v>
      </c>
      <c r="E74" s="155"/>
      <c r="F74" s="17">
        <f>'Výkaz výměr'!J79</f>
        <v>0</v>
      </c>
      <c r="G74" s="17">
        <v>0</v>
      </c>
      <c r="H74" s="17">
        <f t="shared" si="0"/>
        <v>0</v>
      </c>
      <c r="I74" s="17">
        <f t="shared" si="1"/>
        <v>0</v>
      </c>
      <c r="J74" s="17">
        <f>'Výkaz výměr'!F79</f>
        <v>419.9</v>
      </c>
      <c r="K74" s="17">
        <v>0</v>
      </c>
      <c r="L74" s="56">
        <v>419.9</v>
      </c>
      <c r="M74" s="64" t="str">
        <f t="shared" si="2"/>
        <v>Nefakturováno</v>
      </c>
      <c r="N74" s="17">
        <f t="shared" si="3"/>
        <v>0</v>
      </c>
      <c r="O74" s="17">
        <f t="shared" si="4"/>
        <v>-100</v>
      </c>
      <c r="AE74" s="17">
        <v>0</v>
      </c>
    </row>
    <row r="75" spans="1:31" ht="12.75">
      <c r="A75" s="6" t="s">
        <v>65</v>
      </c>
      <c r="B75" s="6" t="s">
        <v>198</v>
      </c>
      <c r="C75" s="6" t="s">
        <v>260</v>
      </c>
      <c r="D75" s="156" t="s">
        <v>414</v>
      </c>
      <c r="E75" s="157"/>
      <c r="F75" s="18">
        <f>'Výkaz výměr'!J80</f>
        <v>0</v>
      </c>
      <c r="G75" s="18">
        <v>0</v>
      </c>
      <c r="H75" s="18">
        <f aca="true" t="shared" si="5" ref="H75:H138">G75-F75</f>
        <v>0</v>
      </c>
      <c r="I75" s="18">
        <f aca="true" t="shared" si="6" ref="I75:I138">IF(F75=0,0,H75/F75*100)</f>
        <v>0</v>
      </c>
      <c r="J75" s="18">
        <f>'Výkaz výměr'!F80</f>
        <v>17.05</v>
      </c>
      <c r="K75" s="18">
        <v>0</v>
      </c>
      <c r="L75" s="57">
        <v>17.05</v>
      </c>
      <c r="M75" s="65" t="str">
        <f aca="true" t="shared" si="7" ref="M75:M138">IF(G75=0,"Nefakturováno",AE75)</f>
        <v>Nefakturováno</v>
      </c>
      <c r="N75" s="18">
        <f aca="true" t="shared" si="8" ref="N75:N138">AE75-G75</f>
        <v>0</v>
      </c>
      <c r="O75" s="18">
        <f aca="true" t="shared" si="9" ref="O75:O138">IF(G75&lt;&gt;0,N75/G75*100,-100)</f>
        <v>-100</v>
      </c>
      <c r="AE75" s="18">
        <v>0</v>
      </c>
    </row>
    <row r="76" spans="1:31" ht="12.75">
      <c r="A76" s="5" t="s">
        <v>66</v>
      </c>
      <c r="B76" s="5" t="s">
        <v>198</v>
      </c>
      <c r="C76" s="5" t="s">
        <v>261</v>
      </c>
      <c r="D76" s="154" t="s">
        <v>415</v>
      </c>
      <c r="E76" s="155"/>
      <c r="F76" s="17">
        <f>'Výkaz výměr'!J81</f>
        <v>0</v>
      </c>
      <c r="G76" s="17">
        <v>0</v>
      </c>
      <c r="H76" s="17">
        <f t="shared" si="5"/>
        <v>0</v>
      </c>
      <c r="I76" s="17">
        <f t="shared" si="6"/>
        <v>0</v>
      </c>
      <c r="J76" s="17">
        <f>'Výkaz výměr'!F81</f>
        <v>4</v>
      </c>
      <c r="K76" s="17">
        <v>0</v>
      </c>
      <c r="L76" s="56">
        <v>4</v>
      </c>
      <c r="M76" s="64" t="str">
        <f t="shared" si="7"/>
        <v>Nefakturováno</v>
      </c>
      <c r="N76" s="17">
        <f t="shared" si="8"/>
        <v>0</v>
      </c>
      <c r="O76" s="17">
        <f t="shared" si="9"/>
        <v>-100</v>
      </c>
      <c r="AE76" s="17">
        <v>0</v>
      </c>
    </row>
    <row r="77" spans="1:31" ht="12.75">
      <c r="A77" s="5" t="s">
        <v>67</v>
      </c>
      <c r="B77" s="5" t="s">
        <v>198</v>
      </c>
      <c r="C77" s="5" t="s">
        <v>262</v>
      </c>
      <c r="D77" s="154" t="s">
        <v>416</v>
      </c>
      <c r="E77" s="155"/>
      <c r="F77" s="17">
        <f>'Výkaz výměr'!J82</f>
        <v>0</v>
      </c>
      <c r="G77" s="17">
        <v>0</v>
      </c>
      <c r="H77" s="17">
        <f t="shared" si="5"/>
        <v>0</v>
      </c>
      <c r="I77" s="17">
        <f t="shared" si="6"/>
        <v>0</v>
      </c>
      <c r="J77" s="17">
        <f>'Výkaz výměr'!F82</f>
        <v>2</v>
      </c>
      <c r="K77" s="17">
        <v>0</v>
      </c>
      <c r="L77" s="56">
        <v>2</v>
      </c>
      <c r="M77" s="64" t="str">
        <f t="shared" si="7"/>
        <v>Nefakturováno</v>
      </c>
      <c r="N77" s="17">
        <f t="shared" si="8"/>
        <v>0</v>
      </c>
      <c r="O77" s="17">
        <f t="shared" si="9"/>
        <v>-100</v>
      </c>
      <c r="AE77" s="17">
        <v>0</v>
      </c>
    </row>
    <row r="78" spans="1:31" ht="12.75">
      <c r="A78" s="5" t="s">
        <v>68</v>
      </c>
      <c r="B78" s="5" t="s">
        <v>198</v>
      </c>
      <c r="C78" s="5" t="s">
        <v>263</v>
      </c>
      <c r="D78" s="154" t="s">
        <v>417</v>
      </c>
      <c r="E78" s="155"/>
      <c r="F78" s="17">
        <f>'Výkaz výměr'!J83</f>
        <v>0</v>
      </c>
      <c r="G78" s="17">
        <v>0</v>
      </c>
      <c r="H78" s="17">
        <f t="shared" si="5"/>
        <v>0</v>
      </c>
      <c r="I78" s="17">
        <f t="shared" si="6"/>
        <v>0</v>
      </c>
      <c r="J78" s="17">
        <f>'Výkaz výměr'!F83</f>
        <v>1</v>
      </c>
      <c r="K78" s="17">
        <v>0</v>
      </c>
      <c r="L78" s="56">
        <v>1</v>
      </c>
      <c r="M78" s="64" t="str">
        <f t="shared" si="7"/>
        <v>Nefakturováno</v>
      </c>
      <c r="N78" s="17">
        <f t="shared" si="8"/>
        <v>0</v>
      </c>
      <c r="O78" s="17">
        <f t="shared" si="9"/>
        <v>-100</v>
      </c>
      <c r="AE78" s="17">
        <v>0</v>
      </c>
    </row>
    <row r="79" spans="1:31" ht="12.75">
      <c r="A79" s="5" t="s">
        <v>69</v>
      </c>
      <c r="B79" s="5" t="s">
        <v>198</v>
      </c>
      <c r="C79" s="5" t="s">
        <v>264</v>
      </c>
      <c r="D79" s="154" t="s">
        <v>418</v>
      </c>
      <c r="E79" s="155"/>
      <c r="F79" s="17">
        <f>'Výkaz výměr'!J84</f>
        <v>0</v>
      </c>
      <c r="G79" s="17">
        <v>0</v>
      </c>
      <c r="H79" s="17">
        <f t="shared" si="5"/>
        <v>0</v>
      </c>
      <c r="I79" s="17">
        <f t="shared" si="6"/>
        <v>0</v>
      </c>
      <c r="J79" s="17">
        <f>'Výkaz výměr'!F84</f>
        <v>2</v>
      </c>
      <c r="K79" s="17">
        <v>0</v>
      </c>
      <c r="L79" s="56">
        <v>2</v>
      </c>
      <c r="M79" s="64" t="str">
        <f t="shared" si="7"/>
        <v>Nefakturováno</v>
      </c>
      <c r="N79" s="17">
        <f t="shared" si="8"/>
        <v>0</v>
      </c>
      <c r="O79" s="17">
        <f t="shared" si="9"/>
        <v>-100</v>
      </c>
      <c r="AE79" s="17">
        <v>0</v>
      </c>
    </row>
    <row r="80" spans="1:31" ht="12.75">
      <c r="A80" s="5" t="s">
        <v>70</v>
      </c>
      <c r="B80" s="5" t="s">
        <v>198</v>
      </c>
      <c r="C80" s="5" t="s">
        <v>263</v>
      </c>
      <c r="D80" s="154" t="s">
        <v>419</v>
      </c>
      <c r="E80" s="155"/>
      <c r="F80" s="17">
        <f>'Výkaz výměr'!J85</f>
        <v>0</v>
      </c>
      <c r="G80" s="17">
        <v>0</v>
      </c>
      <c r="H80" s="17">
        <f t="shared" si="5"/>
        <v>0</v>
      </c>
      <c r="I80" s="17">
        <f t="shared" si="6"/>
        <v>0</v>
      </c>
      <c r="J80" s="17">
        <f>'Výkaz výměr'!F85</f>
        <v>1</v>
      </c>
      <c r="K80" s="17">
        <v>0</v>
      </c>
      <c r="L80" s="56">
        <v>1</v>
      </c>
      <c r="M80" s="64" t="str">
        <f t="shared" si="7"/>
        <v>Nefakturováno</v>
      </c>
      <c r="N80" s="17">
        <f t="shared" si="8"/>
        <v>0</v>
      </c>
      <c r="O80" s="17">
        <f t="shared" si="9"/>
        <v>-100</v>
      </c>
      <c r="AE80" s="17">
        <v>0</v>
      </c>
    </row>
    <row r="81" spans="1:31" ht="12.75">
      <c r="A81" s="5" t="s">
        <v>71</v>
      </c>
      <c r="B81" s="5" t="s">
        <v>198</v>
      </c>
      <c r="C81" s="5" t="s">
        <v>265</v>
      </c>
      <c r="D81" s="154" t="s">
        <v>420</v>
      </c>
      <c r="E81" s="155"/>
      <c r="F81" s="17">
        <f>'Výkaz výměr'!J86</f>
        <v>0</v>
      </c>
      <c r="G81" s="17">
        <v>0</v>
      </c>
      <c r="H81" s="17">
        <f t="shared" si="5"/>
        <v>0</v>
      </c>
      <c r="I81" s="17">
        <f t="shared" si="6"/>
        <v>0</v>
      </c>
      <c r="J81" s="17">
        <f>'Výkaz výměr'!F86</f>
        <v>2</v>
      </c>
      <c r="K81" s="17">
        <v>0</v>
      </c>
      <c r="L81" s="56">
        <v>2</v>
      </c>
      <c r="M81" s="64" t="str">
        <f t="shared" si="7"/>
        <v>Nefakturováno</v>
      </c>
      <c r="N81" s="17">
        <f t="shared" si="8"/>
        <v>0</v>
      </c>
      <c r="O81" s="17">
        <f t="shared" si="9"/>
        <v>-100</v>
      </c>
      <c r="AE81" s="17">
        <v>0</v>
      </c>
    </row>
    <row r="82" spans="1:31" ht="12.75">
      <c r="A82" s="6" t="s">
        <v>72</v>
      </c>
      <c r="B82" s="6" t="s">
        <v>198</v>
      </c>
      <c r="C82" s="6" t="s">
        <v>266</v>
      </c>
      <c r="D82" s="156" t="s">
        <v>421</v>
      </c>
      <c r="E82" s="157"/>
      <c r="F82" s="18">
        <f>'Výkaz výměr'!J87</f>
        <v>0</v>
      </c>
      <c r="G82" s="18">
        <v>0</v>
      </c>
      <c r="H82" s="18">
        <f t="shared" si="5"/>
        <v>0</v>
      </c>
      <c r="I82" s="18">
        <f t="shared" si="6"/>
        <v>0</v>
      </c>
      <c r="J82" s="18">
        <f>'Výkaz výměr'!F87</f>
        <v>2</v>
      </c>
      <c r="K82" s="18">
        <v>0</v>
      </c>
      <c r="L82" s="57">
        <v>2</v>
      </c>
      <c r="M82" s="65" t="str">
        <f t="shared" si="7"/>
        <v>Nefakturováno</v>
      </c>
      <c r="N82" s="18">
        <f t="shared" si="8"/>
        <v>0</v>
      </c>
      <c r="O82" s="18">
        <f t="shared" si="9"/>
        <v>-100</v>
      </c>
      <c r="AE82" s="18">
        <v>0</v>
      </c>
    </row>
    <row r="83" spans="1:31" ht="12.75">
      <c r="A83" s="5" t="s">
        <v>73</v>
      </c>
      <c r="B83" s="5" t="s">
        <v>198</v>
      </c>
      <c r="C83" s="5" t="s">
        <v>267</v>
      </c>
      <c r="D83" s="154" t="s">
        <v>422</v>
      </c>
      <c r="E83" s="155"/>
      <c r="F83" s="17">
        <f>'Výkaz výměr'!J88</f>
        <v>0</v>
      </c>
      <c r="G83" s="17">
        <v>0</v>
      </c>
      <c r="H83" s="17">
        <f t="shared" si="5"/>
        <v>0</v>
      </c>
      <c r="I83" s="17">
        <f t="shared" si="6"/>
        <v>0</v>
      </c>
      <c r="J83" s="17">
        <f>'Výkaz výměr'!F88</f>
        <v>2</v>
      </c>
      <c r="K83" s="17">
        <v>0</v>
      </c>
      <c r="L83" s="56">
        <v>2</v>
      </c>
      <c r="M83" s="64" t="str">
        <f t="shared" si="7"/>
        <v>Nefakturováno</v>
      </c>
      <c r="N83" s="17">
        <f t="shared" si="8"/>
        <v>0</v>
      </c>
      <c r="O83" s="17">
        <f t="shared" si="9"/>
        <v>-100</v>
      </c>
      <c r="AE83" s="17">
        <v>0</v>
      </c>
    </row>
    <row r="84" spans="1:31" ht="12.75">
      <c r="A84" s="5" t="s">
        <v>74</v>
      </c>
      <c r="B84" s="5" t="s">
        <v>198</v>
      </c>
      <c r="C84" s="5" t="s">
        <v>268</v>
      </c>
      <c r="D84" s="154" t="s">
        <v>423</v>
      </c>
      <c r="E84" s="155"/>
      <c r="F84" s="17">
        <f>'Výkaz výměr'!J89</f>
        <v>0</v>
      </c>
      <c r="G84" s="17">
        <v>0</v>
      </c>
      <c r="H84" s="17">
        <f t="shared" si="5"/>
        <v>0</v>
      </c>
      <c r="I84" s="17">
        <f t="shared" si="6"/>
        <v>0</v>
      </c>
      <c r="J84" s="17">
        <f>'Výkaz výměr'!F89</f>
        <v>2</v>
      </c>
      <c r="K84" s="17">
        <v>0</v>
      </c>
      <c r="L84" s="56">
        <v>2</v>
      </c>
      <c r="M84" s="64" t="str">
        <f t="shared" si="7"/>
        <v>Nefakturováno</v>
      </c>
      <c r="N84" s="17">
        <f t="shared" si="8"/>
        <v>0</v>
      </c>
      <c r="O84" s="17">
        <f t="shared" si="9"/>
        <v>-100</v>
      </c>
      <c r="AE84" s="17">
        <v>0</v>
      </c>
    </row>
    <row r="85" spans="1:31" ht="12.75">
      <c r="A85" s="5" t="s">
        <v>75</v>
      </c>
      <c r="B85" s="5" t="s">
        <v>198</v>
      </c>
      <c r="C85" s="5" t="s">
        <v>269</v>
      </c>
      <c r="D85" s="154" t="s">
        <v>424</v>
      </c>
      <c r="E85" s="155"/>
      <c r="F85" s="17">
        <f>'Výkaz výměr'!J90</f>
        <v>0</v>
      </c>
      <c r="G85" s="17">
        <v>0</v>
      </c>
      <c r="H85" s="17">
        <f t="shared" si="5"/>
        <v>0</v>
      </c>
      <c r="I85" s="17">
        <f t="shared" si="6"/>
        <v>0</v>
      </c>
      <c r="J85" s="17">
        <f>'Výkaz výměr'!F90</f>
        <v>36</v>
      </c>
      <c r="K85" s="17">
        <v>0</v>
      </c>
      <c r="L85" s="56">
        <v>36</v>
      </c>
      <c r="M85" s="64" t="str">
        <f t="shared" si="7"/>
        <v>Nefakturováno</v>
      </c>
      <c r="N85" s="17">
        <f t="shared" si="8"/>
        <v>0</v>
      </c>
      <c r="O85" s="17">
        <f t="shared" si="9"/>
        <v>-100</v>
      </c>
      <c r="AE85" s="17">
        <v>0</v>
      </c>
    </row>
    <row r="86" spans="1:31" ht="12.75">
      <c r="A86" s="5" t="s">
        <v>76</v>
      </c>
      <c r="B86" s="5" t="s">
        <v>198</v>
      </c>
      <c r="C86" s="5" t="s">
        <v>270</v>
      </c>
      <c r="D86" s="154" t="s">
        <v>425</v>
      </c>
      <c r="E86" s="155"/>
      <c r="F86" s="17">
        <f>'Výkaz výměr'!J91</f>
        <v>0</v>
      </c>
      <c r="G86" s="17">
        <v>0</v>
      </c>
      <c r="H86" s="17">
        <f t="shared" si="5"/>
        <v>0</v>
      </c>
      <c r="I86" s="17">
        <f t="shared" si="6"/>
        <v>0</v>
      </c>
      <c r="J86" s="17">
        <f>'Výkaz výměr'!F91</f>
        <v>36</v>
      </c>
      <c r="K86" s="17">
        <v>0</v>
      </c>
      <c r="L86" s="56">
        <v>36</v>
      </c>
      <c r="M86" s="64" t="str">
        <f t="shared" si="7"/>
        <v>Nefakturováno</v>
      </c>
      <c r="N86" s="17">
        <f t="shared" si="8"/>
        <v>0</v>
      </c>
      <c r="O86" s="17">
        <f t="shared" si="9"/>
        <v>-100</v>
      </c>
      <c r="AE86" s="17">
        <v>0</v>
      </c>
    </row>
    <row r="87" spans="1:31" ht="12.75">
      <c r="A87" s="5" t="s">
        <v>77</v>
      </c>
      <c r="B87" s="5" t="s">
        <v>198</v>
      </c>
      <c r="C87" s="5" t="s">
        <v>271</v>
      </c>
      <c r="D87" s="154" t="s">
        <v>426</v>
      </c>
      <c r="E87" s="155"/>
      <c r="F87" s="17">
        <f>'Výkaz výměr'!J92</f>
        <v>0</v>
      </c>
      <c r="G87" s="17">
        <v>0</v>
      </c>
      <c r="H87" s="17">
        <f t="shared" si="5"/>
        <v>0</v>
      </c>
      <c r="I87" s="17">
        <f t="shared" si="6"/>
        <v>0</v>
      </c>
      <c r="J87" s="17">
        <f>'Výkaz výměr'!F92</f>
        <v>6</v>
      </c>
      <c r="K87" s="17">
        <v>0</v>
      </c>
      <c r="L87" s="56">
        <v>6</v>
      </c>
      <c r="M87" s="64" t="str">
        <f t="shared" si="7"/>
        <v>Nefakturováno</v>
      </c>
      <c r="N87" s="17">
        <f t="shared" si="8"/>
        <v>0</v>
      </c>
      <c r="O87" s="17">
        <f t="shared" si="9"/>
        <v>-100</v>
      </c>
      <c r="AE87" s="17">
        <v>0</v>
      </c>
    </row>
    <row r="88" spans="1:31" ht="12.75">
      <c r="A88" s="12"/>
      <c r="B88" s="12" t="s">
        <v>198</v>
      </c>
      <c r="C88" s="12" t="s">
        <v>88</v>
      </c>
      <c r="D88" s="158" t="s">
        <v>427</v>
      </c>
      <c r="E88" s="159"/>
      <c r="F88" s="36">
        <f>SUM(F89:F103)</f>
        <v>0</v>
      </c>
      <c r="G88" s="36">
        <f>SUM(G89:G103)</f>
        <v>0</v>
      </c>
      <c r="H88" s="36">
        <f t="shared" si="5"/>
        <v>0</v>
      </c>
      <c r="I88" s="36">
        <f t="shared" si="6"/>
        <v>0</v>
      </c>
      <c r="J88" s="36">
        <f>SUM(J89:J103)</f>
        <v>1633.028</v>
      </c>
      <c r="K88" s="36">
        <f>SUM(K89:K103)</f>
        <v>0</v>
      </c>
      <c r="L88" s="60">
        <f>J88-K88</f>
        <v>1633.028</v>
      </c>
      <c r="M88" s="63" t="str">
        <f t="shared" si="7"/>
        <v>Nefakturováno</v>
      </c>
      <c r="N88" s="36">
        <f t="shared" si="8"/>
        <v>0</v>
      </c>
      <c r="O88" s="36">
        <f t="shared" si="9"/>
        <v>-100</v>
      </c>
      <c r="AE88" s="17">
        <v>0</v>
      </c>
    </row>
    <row r="89" spans="1:31" ht="12.75">
      <c r="A89" s="6" t="s">
        <v>78</v>
      </c>
      <c r="B89" s="6" t="s">
        <v>198</v>
      </c>
      <c r="C89" s="6" t="s">
        <v>272</v>
      </c>
      <c r="D89" s="156" t="s">
        <v>428</v>
      </c>
      <c r="E89" s="157"/>
      <c r="F89" s="18">
        <f>'Výkaz výměr'!J94</f>
        <v>0</v>
      </c>
      <c r="G89" s="18">
        <v>0</v>
      </c>
      <c r="H89" s="18">
        <f t="shared" si="5"/>
        <v>0</v>
      </c>
      <c r="I89" s="18">
        <f t="shared" si="6"/>
        <v>0</v>
      </c>
      <c r="J89" s="18">
        <f>'Výkaz výměr'!F94</f>
        <v>107.7</v>
      </c>
      <c r="K89" s="18">
        <v>0</v>
      </c>
      <c r="L89" s="57">
        <v>107.7</v>
      </c>
      <c r="M89" s="65" t="str">
        <f t="shared" si="7"/>
        <v>Nefakturováno</v>
      </c>
      <c r="N89" s="18">
        <f t="shared" si="8"/>
        <v>0</v>
      </c>
      <c r="O89" s="18">
        <f t="shared" si="9"/>
        <v>-100</v>
      </c>
      <c r="AE89" s="18">
        <v>0</v>
      </c>
    </row>
    <row r="90" spans="1:31" ht="12.75">
      <c r="A90" s="6" t="s">
        <v>79</v>
      </c>
      <c r="B90" s="6" t="s">
        <v>198</v>
      </c>
      <c r="C90" s="6" t="s">
        <v>273</v>
      </c>
      <c r="D90" s="156" t="s">
        <v>429</v>
      </c>
      <c r="E90" s="157"/>
      <c r="F90" s="18">
        <f>'Výkaz výměr'!J95</f>
        <v>0</v>
      </c>
      <c r="G90" s="18">
        <v>0</v>
      </c>
      <c r="H90" s="18">
        <f t="shared" si="5"/>
        <v>0</v>
      </c>
      <c r="I90" s="18">
        <f t="shared" si="6"/>
        <v>0</v>
      </c>
      <c r="J90" s="18">
        <f>'Výkaz výměr'!F95</f>
        <v>107.7</v>
      </c>
      <c r="K90" s="18">
        <v>0</v>
      </c>
      <c r="L90" s="57">
        <v>107.7</v>
      </c>
      <c r="M90" s="65" t="str">
        <f t="shared" si="7"/>
        <v>Nefakturováno</v>
      </c>
      <c r="N90" s="18">
        <f t="shared" si="8"/>
        <v>0</v>
      </c>
      <c r="O90" s="18">
        <f t="shared" si="9"/>
        <v>-100</v>
      </c>
      <c r="AE90" s="18">
        <v>0</v>
      </c>
    </row>
    <row r="91" spans="1:31" ht="12.75">
      <c r="A91" s="5" t="s">
        <v>80</v>
      </c>
      <c r="B91" s="5" t="s">
        <v>198</v>
      </c>
      <c r="C91" s="5" t="s">
        <v>274</v>
      </c>
      <c r="D91" s="154" t="s">
        <v>430</v>
      </c>
      <c r="E91" s="155"/>
      <c r="F91" s="17">
        <f>'Výkaz výměr'!J96</f>
        <v>0</v>
      </c>
      <c r="G91" s="17">
        <v>0</v>
      </c>
      <c r="H91" s="17">
        <f t="shared" si="5"/>
        <v>0</v>
      </c>
      <c r="I91" s="17">
        <f t="shared" si="6"/>
        <v>0</v>
      </c>
      <c r="J91" s="17">
        <f>'Výkaz výměr'!F96</f>
        <v>20</v>
      </c>
      <c r="K91" s="17">
        <v>0</v>
      </c>
      <c r="L91" s="56">
        <v>20</v>
      </c>
      <c r="M91" s="64" t="str">
        <f t="shared" si="7"/>
        <v>Nefakturováno</v>
      </c>
      <c r="N91" s="17">
        <f t="shared" si="8"/>
        <v>0</v>
      </c>
      <c r="O91" s="17">
        <f t="shared" si="9"/>
        <v>-100</v>
      </c>
      <c r="AE91" s="17">
        <v>0</v>
      </c>
    </row>
    <row r="92" spans="1:31" ht="12.75">
      <c r="A92" s="6" t="s">
        <v>81</v>
      </c>
      <c r="B92" s="6" t="s">
        <v>198</v>
      </c>
      <c r="C92" s="6" t="s">
        <v>275</v>
      </c>
      <c r="D92" s="156" t="s">
        <v>431</v>
      </c>
      <c r="E92" s="157"/>
      <c r="F92" s="18">
        <f>'Výkaz výměr'!J97</f>
        <v>0</v>
      </c>
      <c r="G92" s="18">
        <v>0</v>
      </c>
      <c r="H92" s="18">
        <f t="shared" si="5"/>
        <v>0</v>
      </c>
      <c r="I92" s="18">
        <f t="shared" si="6"/>
        <v>0</v>
      </c>
      <c r="J92" s="18">
        <f>'Výkaz výměr'!F97</f>
        <v>20</v>
      </c>
      <c r="K92" s="18">
        <v>0</v>
      </c>
      <c r="L92" s="57">
        <v>20</v>
      </c>
      <c r="M92" s="65" t="str">
        <f t="shared" si="7"/>
        <v>Nefakturováno</v>
      </c>
      <c r="N92" s="18">
        <f t="shared" si="8"/>
        <v>0</v>
      </c>
      <c r="O92" s="18">
        <f t="shared" si="9"/>
        <v>-100</v>
      </c>
      <c r="AE92" s="18">
        <v>0</v>
      </c>
    </row>
    <row r="93" spans="1:31" ht="12.75">
      <c r="A93" s="5" t="s">
        <v>82</v>
      </c>
      <c r="B93" s="5" t="s">
        <v>198</v>
      </c>
      <c r="C93" s="5" t="s">
        <v>276</v>
      </c>
      <c r="D93" s="154" t="s">
        <v>432</v>
      </c>
      <c r="E93" s="155"/>
      <c r="F93" s="17">
        <f>'Výkaz výměr'!J98</f>
        <v>0</v>
      </c>
      <c r="G93" s="17">
        <v>0</v>
      </c>
      <c r="H93" s="17">
        <f t="shared" si="5"/>
        <v>0</v>
      </c>
      <c r="I93" s="17">
        <f t="shared" si="6"/>
        <v>0</v>
      </c>
      <c r="J93" s="17">
        <f>'Výkaz výměr'!F98</f>
        <v>20</v>
      </c>
      <c r="K93" s="17">
        <v>0</v>
      </c>
      <c r="L93" s="56">
        <v>20</v>
      </c>
      <c r="M93" s="64" t="str">
        <f t="shared" si="7"/>
        <v>Nefakturováno</v>
      </c>
      <c r="N93" s="17">
        <f t="shared" si="8"/>
        <v>0</v>
      </c>
      <c r="O93" s="17">
        <f t="shared" si="9"/>
        <v>-100</v>
      </c>
      <c r="AE93" s="17">
        <v>0</v>
      </c>
    </row>
    <row r="94" spans="1:31" ht="12.75">
      <c r="A94" s="5" t="s">
        <v>83</v>
      </c>
      <c r="B94" s="5" t="s">
        <v>198</v>
      </c>
      <c r="C94" s="5" t="s">
        <v>277</v>
      </c>
      <c r="D94" s="154" t="s">
        <v>433</v>
      </c>
      <c r="E94" s="155"/>
      <c r="F94" s="17">
        <f>'Výkaz výměr'!J99</f>
        <v>0</v>
      </c>
      <c r="G94" s="17">
        <v>0</v>
      </c>
      <c r="H94" s="17">
        <f t="shared" si="5"/>
        <v>0</v>
      </c>
      <c r="I94" s="17">
        <f t="shared" si="6"/>
        <v>0</v>
      </c>
      <c r="J94" s="17">
        <f>'Výkaz výměr'!F99</f>
        <v>20</v>
      </c>
      <c r="K94" s="17">
        <v>0</v>
      </c>
      <c r="L94" s="56">
        <v>20</v>
      </c>
      <c r="M94" s="64" t="str">
        <f t="shared" si="7"/>
        <v>Nefakturováno</v>
      </c>
      <c r="N94" s="17">
        <f t="shared" si="8"/>
        <v>0</v>
      </c>
      <c r="O94" s="17">
        <f t="shared" si="9"/>
        <v>-100</v>
      </c>
      <c r="AE94" s="17">
        <v>0</v>
      </c>
    </row>
    <row r="95" spans="1:31" ht="12.75">
      <c r="A95" s="5" t="s">
        <v>84</v>
      </c>
      <c r="B95" s="5" t="s">
        <v>198</v>
      </c>
      <c r="C95" s="5" t="s">
        <v>278</v>
      </c>
      <c r="D95" s="154" t="s">
        <v>434</v>
      </c>
      <c r="E95" s="155"/>
      <c r="F95" s="17">
        <f>'Výkaz výměr'!J100</f>
        <v>0</v>
      </c>
      <c r="G95" s="17">
        <v>0</v>
      </c>
      <c r="H95" s="17">
        <f t="shared" si="5"/>
        <v>0</v>
      </c>
      <c r="I95" s="17">
        <f t="shared" si="6"/>
        <v>0</v>
      </c>
      <c r="J95" s="17">
        <f>'Výkaz výměr'!F100</f>
        <v>20</v>
      </c>
      <c r="K95" s="17">
        <v>0</v>
      </c>
      <c r="L95" s="56">
        <v>20</v>
      </c>
      <c r="M95" s="64" t="str">
        <f t="shared" si="7"/>
        <v>Nefakturováno</v>
      </c>
      <c r="N95" s="17">
        <f t="shared" si="8"/>
        <v>0</v>
      </c>
      <c r="O95" s="17">
        <f t="shared" si="9"/>
        <v>-100</v>
      </c>
      <c r="AE95" s="17">
        <v>0</v>
      </c>
    </row>
    <row r="96" spans="1:31" ht="12.75">
      <c r="A96" s="5" t="s">
        <v>85</v>
      </c>
      <c r="B96" s="5" t="s">
        <v>198</v>
      </c>
      <c r="C96" s="5" t="s">
        <v>279</v>
      </c>
      <c r="D96" s="154" t="s">
        <v>435</v>
      </c>
      <c r="E96" s="155"/>
      <c r="F96" s="17">
        <f>'Výkaz výměr'!J101</f>
        <v>0</v>
      </c>
      <c r="G96" s="17">
        <v>0</v>
      </c>
      <c r="H96" s="17">
        <f t="shared" si="5"/>
        <v>0</v>
      </c>
      <c r="I96" s="17">
        <f t="shared" si="6"/>
        <v>0</v>
      </c>
      <c r="J96" s="17">
        <f>'Výkaz výměr'!F101</f>
        <v>20</v>
      </c>
      <c r="K96" s="17">
        <v>0</v>
      </c>
      <c r="L96" s="56">
        <v>20</v>
      </c>
      <c r="M96" s="64" t="str">
        <f t="shared" si="7"/>
        <v>Nefakturováno</v>
      </c>
      <c r="N96" s="17">
        <f t="shared" si="8"/>
        <v>0</v>
      </c>
      <c r="O96" s="17">
        <f t="shared" si="9"/>
        <v>-100</v>
      </c>
      <c r="AE96" s="17">
        <v>0</v>
      </c>
    </row>
    <row r="97" spans="1:31" ht="12.75">
      <c r="A97" s="5" t="s">
        <v>86</v>
      </c>
      <c r="B97" s="5" t="s">
        <v>198</v>
      </c>
      <c r="C97" s="5" t="s">
        <v>280</v>
      </c>
      <c r="D97" s="154" t="s">
        <v>436</v>
      </c>
      <c r="E97" s="155"/>
      <c r="F97" s="17">
        <f>'Výkaz výměr'!J102</f>
        <v>0</v>
      </c>
      <c r="G97" s="17">
        <v>0</v>
      </c>
      <c r="H97" s="17">
        <f t="shared" si="5"/>
        <v>0</v>
      </c>
      <c r="I97" s="17">
        <f t="shared" si="6"/>
        <v>0</v>
      </c>
      <c r="J97" s="17">
        <f>'Výkaz výměr'!F102</f>
        <v>20</v>
      </c>
      <c r="K97" s="17">
        <v>0</v>
      </c>
      <c r="L97" s="56">
        <v>20</v>
      </c>
      <c r="M97" s="64" t="str">
        <f t="shared" si="7"/>
        <v>Nefakturováno</v>
      </c>
      <c r="N97" s="17">
        <f t="shared" si="8"/>
        <v>0</v>
      </c>
      <c r="O97" s="17">
        <f t="shared" si="9"/>
        <v>-100</v>
      </c>
      <c r="AE97" s="17">
        <v>0</v>
      </c>
    </row>
    <row r="98" spans="1:31" ht="12.75">
      <c r="A98" s="6" t="s">
        <v>87</v>
      </c>
      <c r="B98" s="6" t="s">
        <v>198</v>
      </c>
      <c r="C98" s="6" t="s">
        <v>258</v>
      </c>
      <c r="D98" s="156" t="s">
        <v>412</v>
      </c>
      <c r="E98" s="157"/>
      <c r="F98" s="18">
        <f>'Výkaz výměr'!J103</f>
        <v>0</v>
      </c>
      <c r="G98" s="18">
        <v>0</v>
      </c>
      <c r="H98" s="18">
        <f t="shared" si="5"/>
        <v>0</v>
      </c>
      <c r="I98" s="18">
        <f t="shared" si="6"/>
        <v>0</v>
      </c>
      <c r="J98" s="18">
        <f>'Výkaz výměr'!F103</f>
        <v>129.24</v>
      </c>
      <c r="K98" s="18">
        <v>0</v>
      </c>
      <c r="L98" s="57">
        <v>129.24</v>
      </c>
      <c r="M98" s="65" t="str">
        <f t="shared" si="7"/>
        <v>Nefakturováno</v>
      </c>
      <c r="N98" s="18">
        <f t="shared" si="8"/>
        <v>0</v>
      </c>
      <c r="O98" s="18">
        <f t="shared" si="9"/>
        <v>-100</v>
      </c>
      <c r="AE98" s="18">
        <v>0</v>
      </c>
    </row>
    <row r="99" spans="1:31" ht="12.75">
      <c r="A99" s="6" t="s">
        <v>88</v>
      </c>
      <c r="B99" s="6" t="s">
        <v>198</v>
      </c>
      <c r="C99" s="6" t="s">
        <v>224</v>
      </c>
      <c r="D99" s="156" t="s">
        <v>374</v>
      </c>
      <c r="E99" s="157"/>
      <c r="F99" s="18">
        <f>'Výkaz výměr'!J104</f>
        <v>0</v>
      </c>
      <c r="G99" s="18">
        <v>0</v>
      </c>
      <c r="H99" s="18">
        <f t="shared" si="5"/>
        <v>0</v>
      </c>
      <c r="I99" s="18">
        <f t="shared" si="6"/>
        <v>0</v>
      </c>
      <c r="J99" s="18">
        <f>'Výkaz výměr'!F104</f>
        <v>129.24</v>
      </c>
      <c r="K99" s="18">
        <v>0</v>
      </c>
      <c r="L99" s="57">
        <v>129.24</v>
      </c>
      <c r="M99" s="65" t="str">
        <f t="shared" si="7"/>
        <v>Nefakturováno</v>
      </c>
      <c r="N99" s="18">
        <f t="shared" si="8"/>
        <v>0</v>
      </c>
      <c r="O99" s="18">
        <f t="shared" si="9"/>
        <v>-100</v>
      </c>
      <c r="AE99" s="18">
        <v>0</v>
      </c>
    </row>
    <row r="100" spans="1:31" ht="12.75">
      <c r="A100" s="6" t="s">
        <v>89</v>
      </c>
      <c r="B100" s="6" t="s">
        <v>198</v>
      </c>
      <c r="C100" s="6" t="s">
        <v>225</v>
      </c>
      <c r="D100" s="156" t="s">
        <v>376</v>
      </c>
      <c r="E100" s="157"/>
      <c r="F100" s="18">
        <f>'Výkaz výměr'!J106</f>
        <v>0</v>
      </c>
      <c r="G100" s="18">
        <v>0</v>
      </c>
      <c r="H100" s="18">
        <f t="shared" si="5"/>
        <v>0</v>
      </c>
      <c r="I100" s="18">
        <f t="shared" si="6"/>
        <v>0</v>
      </c>
      <c r="J100" s="18">
        <f>'Výkaz výměr'!F106</f>
        <v>646.2</v>
      </c>
      <c r="K100" s="18">
        <v>0</v>
      </c>
      <c r="L100" s="57">
        <v>646.2</v>
      </c>
      <c r="M100" s="65" t="str">
        <f t="shared" si="7"/>
        <v>Nefakturováno</v>
      </c>
      <c r="N100" s="18">
        <f t="shared" si="8"/>
        <v>0</v>
      </c>
      <c r="O100" s="18">
        <f t="shared" si="9"/>
        <v>-100</v>
      </c>
      <c r="AE100" s="18">
        <v>0</v>
      </c>
    </row>
    <row r="101" spans="1:31" ht="12.75">
      <c r="A101" s="6" t="s">
        <v>90</v>
      </c>
      <c r="B101" s="6" t="s">
        <v>198</v>
      </c>
      <c r="C101" s="6" t="s">
        <v>214</v>
      </c>
      <c r="D101" s="156" t="s">
        <v>370</v>
      </c>
      <c r="E101" s="157"/>
      <c r="F101" s="18">
        <f>'Výkaz výměr'!J108</f>
        <v>0</v>
      </c>
      <c r="G101" s="18">
        <v>0</v>
      </c>
      <c r="H101" s="18">
        <f t="shared" si="5"/>
        <v>0</v>
      </c>
      <c r="I101" s="18">
        <f t="shared" si="6"/>
        <v>0</v>
      </c>
      <c r="J101" s="18">
        <f>'Výkaz výměr'!F108</f>
        <v>129.24</v>
      </c>
      <c r="K101" s="18">
        <v>0</v>
      </c>
      <c r="L101" s="57">
        <v>129.24</v>
      </c>
      <c r="M101" s="65" t="str">
        <f t="shared" si="7"/>
        <v>Nefakturováno</v>
      </c>
      <c r="N101" s="18">
        <f t="shared" si="8"/>
        <v>0</v>
      </c>
      <c r="O101" s="18">
        <f t="shared" si="9"/>
        <v>-100</v>
      </c>
      <c r="AE101" s="18">
        <v>0</v>
      </c>
    </row>
    <row r="102" spans="1:31" ht="12.75">
      <c r="A102" s="5" t="s">
        <v>91</v>
      </c>
      <c r="B102" s="5" t="s">
        <v>198</v>
      </c>
      <c r="C102" s="5" t="s">
        <v>259</v>
      </c>
      <c r="D102" s="154" t="s">
        <v>413</v>
      </c>
      <c r="E102" s="155"/>
      <c r="F102" s="17">
        <f>'Výkaz výměr'!J109</f>
        <v>0</v>
      </c>
      <c r="G102" s="17">
        <v>0</v>
      </c>
      <c r="H102" s="17">
        <f t="shared" si="5"/>
        <v>0</v>
      </c>
      <c r="I102" s="17">
        <f t="shared" si="6"/>
        <v>0</v>
      </c>
      <c r="J102" s="17">
        <f>'Výkaz výměr'!F109</f>
        <v>219.708</v>
      </c>
      <c r="K102" s="17">
        <v>0</v>
      </c>
      <c r="L102" s="56">
        <v>219.708</v>
      </c>
      <c r="M102" s="64" t="str">
        <f t="shared" si="7"/>
        <v>Nefakturováno</v>
      </c>
      <c r="N102" s="17">
        <f t="shared" si="8"/>
        <v>0</v>
      </c>
      <c r="O102" s="17">
        <f t="shared" si="9"/>
        <v>-100</v>
      </c>
      <c r="AE102" s="17">
        <v>0</v>
      </c>
    </row>
    <row r="103" spans="1:31" ht="12.75">
      <c r="A103" s="6" t="s">
        <v>92</v>
      </c>
      <c r="B103" s="6" t="s">
        <v>198</v>
      </c>
      <c r="C103" s="6" t="s">
        <v>281</v>
      </c>
      <c r="D103" s="156" t="s">
        <v>437</v>
      </c>
      <c r="E103" s="157"/>
      <c r="F103" s="18">
        <f>'Výkaz výměr'!J110</f>
        <v>0</v>
      </c>
      <c r="G103" s="18">
        <v>0</v>
      </c>
      <c r="H103" s="18">
        <f t="shared" si="5"/>
        <v>0</v>
      </c>
      <c r="I103" s="18">
        <f t="shared" si="6"/>
        <v>0</v>
      </c>
      <c r="J103" s="18">
        <f>'Výkaz výměr'!F110</f>
        <v>24</v>
      </c>
      <c r="K103" s="18">
        <v>0</v>
      </c>
      <c r="L103" s="57">
        <v>24</v>
      </c>
      <c r="M103" s="65" t="str">
        <f t="shared" si="7"/>
        <v>Nefakturováno</v>
      </c>
      <c r="N103" s="18">
        <f t="shared" si="8"/>
        <v>0</v>
      </c>
      <c r="O103" s="18">
        <f t="shared" si="9"/>
        <v>-100</v>
      </c>
      <c r="AE103" s="18">
        <v>0</v>
      </c>
    </row>
    <row r="104" spans="1:31" ht="12.75">
      <c r="A104" s="12"/>
      <c r="B104" s="12" t="s">
        <v>198</v>
      </c>
      <c r="C104" s="12" t="s">
        <v>282</v>
      </c>
      <c r="D104" s="158" t="s">
        <v>438</v>
      </c>
      <c r="E104" s="159"/>
      <c r="F104" s="36">
        <f>SUM(F105:F105)</f>
        <v>0</v>
      </c>
      <c r="G104" s="36">
        <f>SUM(G105:G105)</f>
        <v>0</v>
      </c>
      <c r="H104" s="36">
        <f t="shared" si="5"/>
        <v>0</v>
      </c>
      <c r="I104" s="36">
        <f t="shared" si="6"/>
        <v>0</v>
      </c>
      <c r="J104" s="36">
        <f>SUM(J105:J105)</f>
        <v>2243.6</v>
      </c>
      <c r="K104" s="36">
        <f>SUM(K105:K105)</f>
        <v>0</v>
      </c>
      <c r="L104" s="60">
        <f>J104-K104</f>
        <v>2243.6</v>
      </c>
      <c r="M104" s="63" t="str">
        <f t="shared" si="7"/>
        <v>Nefakturováno</v>
      </c>
      <c r="N104" s="36">
        <f t="shared" si="8"/>
        <v>0</v>
      </c>
      <c r="O104" s="36">
        <f t="shared" si="9"/>
        <v>-100</v>
      </c>
      <c r="AE104" s="18">
        <v>0</v>
      </c>
    </row>
    <row r="105" spans="1:31" ht="12.75">
      <c r="A105" s="6" t="s">
        <v>93</v>
      </c>
      <c r="B105" s="6" t="s">
        <v>198</v>
      </c>
      <c r="C105" s="6" t="s">
        <v>283</v>
      </c>
      <c r="D105" s="156" t="s">
        <v>439</v>
      </c>
      <c r="E105" s="157"/>
      <c r="F105" s="18">
        <f>'Výkaz výměr'!J112</f>
        <v>0</v>
      </c>
      <c r="G105" s="18">
        <v>0</v>
      </c>
      <c r="H105" s="18">
        <f t="shared" si="5"/>
        <v>0</v>
      </c>
      <c r="I105" s="18">
        <f t="shared" si="6"/>
        <v>0</v>
      </c>
      <c r="J105" s="18">
        <f>'Výkaz výměr'!F112</f>
        <v>2243.6</v>
      </c>
      <c r="K105" s="18">
        <v>0</v>
      </c>
      <c r="L105" s="57">
        <v>2243.6</v>
      </c>
      <c r="M105" s="65" t="str">
        <f t="shared" si="7"/>
        <v>Nefakturováno</v>
      </c>
      <c r="N105" s="18">
        <f t="shared" si="8"/>
        <v>0</v>
      </c>
      <c r="O105" s="18">
        <f t="shared" si="9"/>
        <v>-100</v>
      </c>
      <c r="AE105" s="18">
        <v>0</v>
      </c>
    </row>
    <row r="106" spans="1:31" ht="12.75">
      <c r="A106" s="12"/>
      <c r="B106" s="12" t="s">
        <v>198</v>
      </c>
      <c r="C106" s="12"/>
      <c r="D106" s="158" t="s">
        <v>440</v>
      </c>
      <c r="E106" s="159"/>
      <c r="F106" s="36">
        <f>SUM(F107:F107)</f>
        <v>0</v>
      </c>
      <c r="G106" s="36">
        <f>SUM(G107:G107)</f>
        <v>0</v>
      </c>
      <c r="H106" s="36">
        <f t="shared" si="5"/>
        <v>0</v>
      </c>
      <c r="I106" s="36">
        <f t="shared" si="6"/>
        <v>0</v>
      </c>
      <c r="J106" s="36">
        <f>SUM(J107:J107)</f>
        <v>355.1</v>
      </c>
      <c r="K106" s="36">
        <f>SUM(K107:K107)</f>
        <v>0</v>
      </c>
      <c r="L106" s="60">
        <f>J106-K106</f>
        <v>355.1</v>
      </c>
      <c r="M106" s="63" t="str">
        <f t="shared" si="7"/>
        <v>Nefakturováno</v>
      </c>
      <c r="N106" s="36">
        <f t="shared" si="8"/>
        <v>0</v>
      </c>
      <c r="O106" s="36">
        <f t="shared" si="9"/>
        <v>-100</v>
      </c>
      <c r="AE106" s="18">
        <v>0</v>
      </c>
    </row>
    <row r="107" spans="1:31" ht="12.75">
      <c r="A107" s="5" t="s">
        <v>94</v>
      </c>
      <c r="B107" s="5" t="s">
        <v>198</v>
      </c>
      <c r="C107" s="5" t="s">
        <v>284</v>
      </c>
      <c r="D107" s="154" t="s">
        <v>441</v>
      </c>
      <c r="E107" s="155"/>
      <c r="F107" s="17">
        <f>'Výkaz výměr'!J114</f>
        <v>0</v>
      </c>
      <c r="G107" s="17">
        <v>0</v>
      </c>
      <c r="H107" s="17">
        <f t="shared" si="5"/>
        <v>0</v>
      </c>
      <c r="I107" s="17">
        <f t="shared" si="6"/>
        <v>0</v>
      </c>
      <c r="J107" s="17">
        <f>'Výkaz výměr'!F114</f>
        <v>355.1</v>
      </c>
      <c r="K107" s="17">
        <v>0</v>
      </c>
      <c r="L107" s="56">
        <v>355.1</v>
      </c>
      <c r="M107" s="64" t="str">
        <f t="shared" si="7"/>
        <v>Nefakturováno</v>
      </c>
      <c r="N107" s="17">
        <f t="shared" si="8"/>
        <v>0</v>
      </c>
      <c r="O107" s="17">
        <f t="shared" si="9"/>
        <v>-100</v>
      </c>
      <c r="AE107" s="17">
        <v>0</v>
      </c>
    </row>
    <row r="108" spans="1:31" ht="12.75">
      <c r="A108" s="13"/>
      <c r="B108" s="13" t="s">
        <v>199</v>
      </c>
      <c r="C108" s="13"/>
      <c r="D108" s="160" t="s">
        <v>442</v>
      </c>
      <c r="E108" s="161"/>
      <c r="F108" s="37">
        <f>F109+F112+F115+F144+F176+F185+F194</f>
        <v>0</v>
      </c>
      <c r="G108" s="37">
        <f>G109+G112+G115+G144+G176+G185+G194</f>
        <v>0</v>
      </c>
      <c r="H108" s="37">
        <f t="shared" si="5"/>
        <v>0</v>
      </c>
      <c r="I108" s="37">
        <f t="shared" si="6"/>
        <v>0</v>
      </c>
      <c r="J108" s="37">
        <f>J109+J112+J115+J144+J176+J185+J194</f>
        <v>28178.638999999996</v>
      </c>
      <c r="K108" s="37">
        <f>K109+K112+K115+K144+K176+K185+K194</f>
        <v>0</v>
      </c>
      <c r="L108" s="61">
        <f>J108-K108</f>
        <v>28178.638999999996</v>
      </c>
      <c r="M108" s="66" t="str">
        <f t="shared" si="7"/>
        <v>Nefakturováno</v>
      </c>
      <c r="N108" s="37">
        <f t="shared" si="8"/>
        <v>0</v>
      </c>
      <c r="O108" s="37">
        <f t="shared" si="9"/>
        <v>-100</v>
      </c>
      <c r="AE108" s="17">
        <v>0</v>
      </c>
    </row>
    <row r="109" spans="1:31" ht="12.75">
      <c r="A109" s="12"/>
      <c r="B109" s="12" t="s">
        <v>199</v>
      </c>
      <c r="C109" s="12" t="s">
        <v>6</v>
      </c>
      <c r="D109" s="158" t="s">
        <v>347</v>
      </c>
      <c r="E109" s="159"/>
      <c r="F109" s="36">
        <f>SUM(F110:F111)</f>
        <v>0</v>
      </c>
      <c r="G109" s="36">
        <f>SUM(G110:G111)</f>
        <v>0</v>
      </c>
      <c r="H109" s="36">
        <f t="shared" si="5"/>
        <v>0</v>
      </c>
      <c r="I109" s="36">
        <f t="shared" si="6"/>
        <v>0</v>
      </c>
      <c r="J109" s="36">
        <f>SUM(J110:J111)</f>
        <v>5.5</v>
      </c>
      <c r="K109" s="36">
        <f>SUM(K110:K111)</f>
        <v>0</v>
      </c>
      <c r="L109" s="60">
        <f>J109-K109</f>
        <v>5.5</v>
      </c>
      <c r="M109" s="63" t="str">
        <f t="shared" si="7"/>
        <v>Nefakturováno</v>
      </c>
      <c r="N109" s="36">
        <f t="shared" si="8"/>
        <v>0</v>
      </c>
      <c r="O109" s="36">
        <f t="shared" si="9"/>
        <v>-100</v>
      </c>
      <c r="AE109" s="17">
        <v>0</v>
      </c>
    </row>
    <row r="110" spans="1:31" ht="12.75">
      <c r="A110" s="6" t="s">
        <v>95</v>
      </c>
      <c r="B110" s="6" t="s">
        <v>199</v>
      </c>
      <c r="C110" s="6" t="s">
        <v>204</v>
      </c>
      <c r="D110" s="156" t="s">
        <v>350</v>
      </c>
      <c r="E110" s="157"/>
      <c r="F110" s="18">
        <f>'Výkaz výměr'!J117</f>
        <v>0</v>
      </c>
      <c r="G110" s="18">
        <v>0</v>
      </c>
      <c r="H110" s="18">
        <f t="shared" si="5"/>
        <v>0</v>
      </c>
      <c r="I110" s="18">
        <f t="shared" si="6"/>
        <v>0</v>
      </c>
      <c r="J110" s="18">
        <f>'Výkaz výměr'!F117</f>
        <v>4.5</v>
      </c>
      <c r="K110" s="18">
        <v>0</v>
      </c>
      <c r="L110" s="57">
        <v>4.5</v>
      </c>
      <c r="M110" s="65" t="str">
        <f t="shared" si="7"/>
        <v>Nefakturováno</v>
      </c>
      <c r="N110" s="18">
        <f t="shared" si="8"/>
        <v>0</v>
      </c>
      <c r="O110" s="18">
        <f t="shared" si="9"/>
        <v>-100</v>
      </c>
      <c r="AE110" s="18">
        <v>0</v>
      </c>
    </row>
    <row r="111" spans="1:31" ht="12.75">
      <c r="A111" s="6" t="s">
        <v>96</v>
      </c>
      <c r="B111" s="6" t="s">
        <v>199</v>
      </c>
      <c r="C111" s="6" t="s">
        <v>205</v>
      </c>
      <c r="D111" s="156" t="s">
        <v>443</v>
      </c>
      <c r="E111" s="157"/>
      <c r="F111" s="18">
        <f>'Výkaz výměr'!J118</f>
        <v>0</v>
      </c>
      <c r="G111" s="18">
        <v>0</v>
      </c>
      <c r="H111" s="18">
        <f t="shared" si="5"/>
        <v>0</v>
      </c>
      <c r="I111" s="18">
        <f t="shared" si="6"/>
        <v>0</v>
      </c>
      <c r="J111" s="18">
        <f>'Výkaz výměr'!F118</f>
        <v>1</v>
      </c>
      <c r="K111" s="18">
        <v>0</v>
      </c>
      <c r="L111" s="57">
        <v>1</v>
      </c>
      <c r="M111" s="65" t="str">
        <f t="shared" si="7"/>
        <v>Nefakturováno</v>
      </c>
      <c r="N111" s="18">
        <f t="shared" si="8"/>
        <v>0</v>
      </c>
      <c r="O111" s="18">
        <f t="shared" si="9"/>
        <v>-100</v>
      </c>
      <c r="AE111" s="18">
        <v>0</v>
      </c>
    </row>
    <row r="112" spans="1:31" ht="12.75">
      <c r="A112" s="12"/>
      <c r="B112" s="12" t="s">
        <v>199</v>
      </c>
      <c r="C112" s="12" t="s">
        <v>7</v>
      </c>
      <c r="D112" s="158" t="s">
        <v>352</v>
      </c>
      <c r="E112" s="159"/>
      <c r="F112" s="36">
        <f>SUM(F113:F114)</f>
        <v>0</v>
      </c>
      <c r="G112" s="36">
        <f>SUM(G113:G114)</f>
        <v>0</v>
      </c>
      <c r="H112" s="36">
        <f t="shared" si="5"/>
        <v>0</v>
      </c>
      <c r="I112" s="36">
        <f t="shared" si="6"/>
        <v>0</v>
      </c>
      <c r="J112" s="36">
        <f>SUM(J113:J114)</f>
        <v>2086.7</v>
      </c>
      <c r="K112" s="36">
        <f>SUM(K113:K114)</f>
        <v>0</v>
      </c>
      <c r="L112" s="60">
        <f>J112-K112</f>
        <v>2086.7</v>
      </c>
      <c r="M112" s="63" t="str">
        <f t="shared" si="7"/>
        <v>Nefakturováno</v>
      </c>
      <c r="N112" s="36">
        <f t="shared" si="8"/>
        <v>0</v>
      </c>
      <c r="O112" s="36">
        <f t="shared" si="9"/>
        <v>-100</v>
      </c>
      <c r="AE112" s="18">
        <v>0</v>
      </c>
    </row>
    <row r="113" spans="1:31" ht="12.75">
      <c r="A113" s="6" t="s">
        <v>97</v>
      </c>
      <c r="B113" s="6" t="s">
        <v>199</v>
      </c>
      <c r="C113" s="6" t="s">
        <v>206</v>
      </c>
      <c r="D113" s="156" t="s">
        <v>353</v>
      </c>
      <c r="E113" s="157"/>
      <c r="F113" s="18">
        <f>'Výkaz výměr'!J120</f>
        <v>0</v>
      </c>
      <c r="G113" s="18">
        <v>0</v>
      </c>
      <c r="H113" s="18">
        <f t="shared" si="5"/>
        <v>0</v>
      </c>
      <c r="I113" s="18">
        <f t="shared" si="6"/>
        <v>0</v>
      </c>
      <c r="J113" s="18">
        <f>'Výkaz výměr'!F120</f>
        <v>1043.35</v>
      </c>
      <c r="K113" s="18">
        <v>0</v>
      </c>
      <c r="L113" s="57">
        <v>1043.35</v>
      </c>
      <c r="M113" s="65" t="str">
        <f t="shared" si="7"/>
        <v>Nefakturováno</v>
      </c>
      <c r="N113" s="18">
        <f t="shared" si="8"/>
        <v>0</v>
      </c>
      <c r="O113" s="18">
        <f t="shared" si="9"/>
        <v>-100</v>
      </c>
      <c r="AE113" s="18">
        <v>0</v>
      </c>
    </row>
    <row r="114" spans="1:31" ht="12.75">
      <c r="A114" s="6" t="s">
        <v>98</v>
      </c>
      <c r="B114" s="6" t="s">
        <v>199</v>
      </c>
      <c r="C114" s="6" t="s">
        <v>207</v>
      </c>
      <c r="D114" s="156" t="s">
        <v>354</v>
      </c>
      <c r="E114" s="157"/>
      <c r="F114" s="18">
        <f>'Výkaz výměr'!J121</f>
        <v>0</v>
      </c>
      <c r="G114" s="18">
        <v>0</v>
      </c>
      <c r="H114" s="18">
        <f t="shared" si="5"/>
        <v>0</v>
      </c>
      <c r="I114" s="18">
        <f t="shared" si="6"/>
        <v>0</v>
      </c>
      <c r="J114" s="18">
        <f>'Výkaz výměr'!F121</f>
        <v>1043.35</v>
      </c>
      <c r="K114" s="18">
        <v>0</v>
      </c>
      <c r="L114" s="57">
        <v>1043.35</v>
      </c>
      <c r="M114" s="65" t="str">
        <f t="shared" si="7"/>
        <v>Nefakturováno</v>
      </c>
      <c r="N114" s="18">
        <f t="shared" si="8"/>
        <v>0</v>
      </c>
      <c r="O114" s="18">
        <f t="shared" si="9"/>
        <v>-100</v>
      </c>
      <c r="AE114" s="18">
        <v>0</v>
      </c>
    </row>
    <row r="115" spans="1:31" ht="12.75">
      <c r="A115" s="12"/>
      <c r="B115" s="12" t="s">
        <v>199</v>
      </c>
      <c r="C115" s="12" t="s">
        <v>92</v>
      </c>
      <c r="D115" s="158" t="s">
        <v>355</v>
      </c>
      <c r="E115" s="159"/>
      <c r="F115" s="36">
        <f>SUM(F116:F143)</f>
        <v>0</v>
      </c>
      <c r="G115" s="36">
        <f>SUM(G116:G143)</f>
        <v>0</v>
      </c>
      <c r="H115" s="36">
        <f t="shared" si="5"/>
        <v>0</v>
      </c>
      <c r="I115" s="36">
        <f t="shared" si="6"/>
        <v>0</v>
      </c>
      <c r="J115" s="36">
        <f>SUM(J116:J143)</f>
        <v>14518.093499999997</v>
      </c>
      <c r="K115" s="36">
        <f>SUM(K116:K143)</f>
        <v>0</v>
      </c>
      <c r="L115" s="60">
        <f>J115-K115</f>
        <v>14518.093499999997</v>
      </c>
      <c r="M115" s="63" t="str">
        <f t="shared" si="7"/>
        <v>Nefakturováno</v>
      </c>
      <c r="N115" s="36">
        <f t="shared" si="8"/>
        <v>0</v>
      </c>
      <c r="O115" s="36">
        <f t="shared" si="9"/>
        <v>-100</v>
      </c>
      <c r="AE115" s="18">
        <v>0</v>
      </c>
    </row>
    <row r="116" spans="1:31" ht="12.75">
      <c r="A116" s="6" t="s">
        <v>99</v>
      </c>
      <c r="B116" s="6" t="s">
        <v>199</v>
      </c>
      <c r="C116" s="6" t="s">
        <v>208</v>
      </c>
      <c r="D116" s="156" t="s">
        <v>356</v>
      </c>
      <c r="E116" s="157"/>
      <c r="F116" s="18">
        <f>'Výkaz výměr'!J123</f>
        <v>0</v>
      </c>
      <c r="G116" s="18">
        <v>0</v>
      </c>
      <c r="H116" s="18">
        <f t="shared" si="5"/>
        <v>0</v>
      </c>
      <c r="I116" s="18">
        <f t="shared" si="6"/>
        <v>0</v>
      </c>
      <c r="J116" s="18">
        <f>'Výkaz výměr'!F123</f>
        <v>1025</v>
      </c>
      <c r="K116" s="18">
        <v>0</v>
      </c>
      <c r="L116" s="57">
        <v>1025</v>
      </c>
      <c r="M116" s="65" t="str">
        <f t="shared" si="7"/>
        <v>Nefakturováno</v>
      </c>
      <c r="N116" s="18">
        <f t="shared" si="8"/>
        <v>0</v>
      </c>
      <c r="O116" s="18">
        <f t="shared" si="9"/>
        <v>-100</v>
      </c>
      <c r="AE116" s="18">
        <v>0</v>
      </c>
    </row>
    <row r="117" spans="1:31" ht="12.75">
      <c r="A117" s="6" t="s">
        <v>100</v>
      </c>
      <c r="B117" s="6" t="s">
        <v>199</v>
      </c>
      <c r="C117" s="6" t="s">
        <v>209</v>
      </c>
      <c r="D117" s="156" t="s">
        <v>357</v>
      </c>
      <c r="E117" s="157"/>
      <c r="F117" s="18">
        <f>'Výkaz výměr'!J124</f>
        <v>0</v>
      </c>
      <c r="G117" s="18">
        <v>0</v>
      </c>
      <c r="H117" s="18">
        <f t="shared" si="5"/>
        <v>0</v>
      </c>
      <c r="I117" s="18">
        <f t="shared" si="6"/>
        <v>0</v>
      </c>
      <c r="J117" s="18">
        <f>'Výkaz výměr'!F124</f>
        <v>1575</v>
      </c>
      <c r="K117" s="18">
        <v>0</v>
      </c>
      <c r="L117" s="57">
        <v>1575</v>
      </c>
      <c r="M117" s="65" t="str">
        <f t="shared" si="7"/>
        <v>Nefakturováno</v>
      </c>
      <c r="N117" s="18">
        <f t="shared" si="8"/>
        <v>0</v>
      </c>
      <c r="O117" s="18">
        <f t="shared" si="9"/>
        <v>-100</v>
      </c>
      <c r="AE117" s="18">
        <v>0</v>
      </c>
    </row>
    <row r="118" spans="1:31" ht="12.75">
      <c r="A118" s="6" t="s">
        <v>101</v>
      </c>
      <c r="B118" s="6" t="s">
        <v>199</v>
      </c>
      <c r="C118" s="6" t="s">
        <v>210</v>
      </c>
      <c r="D118" s="156" t="s">
        <v>358</v>
      </c>
      <c r="E118" s="157"/>
      <c r="F118" s="18">
        <f>'Výkaz výměr'!J125</f>
        <v>0</v>
      </c>
      <c r="G118" s="18">
        <v>0</v>
      </c>
      <c r="H118" s="18">
        <f t="shared" si="5"/>
        <v>0</v>
      </c>
      <c r="I118" s="18">
        <f t="shared" si="6"/>
        <v>0</v>
      </c>
      <c r="J118" s="18">
        <f>'Výkaz výměr'!F125</f>
        <v>550</v>
      </c>
      <c r="K118" s="18">
        <v>0</v>
      </c>
      <c r="L118" s="57">
        <v>550</v>
      </c>
      <c r="M118" s="65" t="str">
        <f t="shared" si="7"/>
        <v>Nefakturováno</v>
      </c>
      <c r="N118" s="18">
        <f t="shared" si="8"/>
        <v>0</v>
      </c>
      <c r="O118" s="18">
        <f t="shared" si="9"/>
        <v>-100</v>
      </c>
      <c r="AE118" s="18">
        <v>0</v>
      </c>
    </row>
    <row r="119" spans="1:31" ht="12.75">
      <c r="A119" s="6" t="s">
        <v>102</v>
      </c>
      <c r="B119" s="6" t="s">
        <v>199</v>
      </c>
      <c r="C119" s="6" t="s">
        <v>211</v>
      </c>
      <c r="D119" s="156" t="s">
        <v>359</v>
      </c>
      <c r="E119" s="157"/>
      <c r="F119" s="18">
        <f>'Výkaz výměr'!J126</f>
        <v>0</v>
      </c>
      <c r="G119" s="18">
        <v>0</v>
      </c>
      <c r="H119" s="18">
        <f t="shared" si="5"/>
        <v>0</v>
      </c>
      <c r="I119" s="18">
        <f t="shared" si="6"/>
        <v>0</v>
      </c>
      <c r="J119" s="18">
        <f>'Výkaz výměr'!F126</f>
        <v>274.5</v>
      </c>
      <c r="K119" s="18">
        <v>0</v>
      </c>
      <c r="L119" s="57">
        <v>274.5</v>
      </c>
      <c r="M119" s="65" t="str">
        <f t="shared" si="7"/>
        <v>Nefakturováno</v>
      </c>
      <c r="N119" s="18">
        <f t="shared" si="8"/>
        <v>0</v>
      </c>
      <c r="O119" s="18">
        <f t="shared" si="9"/>
        <v>-100</v>
      </c>
      <c r="AE119" s="18">
        <v>0</v>
      </c>
    </row>
    <row r="120" spans="1:31" ht="12.75">
      <c r="A120" s="6" t="s">
        <v>103</v>
      </c>
      <c r="B120" s="6" t="s">
        <v>199</v>
      </c>
      <c r="C120" s="6" t="s">
        <v>212</v>
      </c>
      <c r="D120" s="156" t="s">
        <v>360</v>
      </c>
      <c r="E120" s="157"/>
      <c r="F120" s="18">
        <f>'Výkaz výměr'!J127</f>
        <v>0</v>
      </c>
      <c r="G120" s="18">
        <v>0</v>
      </c>
      <c r="H120" s="18">
        <f t="shared" si="5"/>
        <v>0</v>
      </c>
      <c r="I120" s="18">
        <f t="shared" si="6"/>
        <v>0</v>
      </c>
      <c r="J120" s="18">
        <f>'Výkaz výměr'!F127</f>
        <v>1415.02</v>
      </c>
      <c r="K120" s="18">
        <v>0</v>
      </c>
      <c r="L120" s="57">
        <v>1415.02</v>
      </c>
      <c r="M120" s="65" t="str">
        <f t="shared" si="7"/>
        <v>Nefakturováno</v>
      </c>
      <c r="N120" s="18">
        <f t="shared" si="8"/>
        <v>0</v>
      </c>
      <c r="O120" s="18">
        <f t="shared" si="9"/>
        <v>-100</v>
      </c>
      <c r="AE120" s="18">
        <v>0</v>
      </c>
    </row>
    <row r="121" spans="1:31" ht="12.75">
      <c r="A121" s="6" t="s">
        <v>104</v>
      </c>
      <c r="B121" s="6" t="s">
        <v>199</v>
      </c>
      <c r="C121" s="6" t="s">
        <v>213</v>
      </c>
      <c r="D121" s="156" t="s">
        <v>361</v>
      </c>
      <c r="E121" s="157"/>
      <c r="F121" s="18">
        <f>'Výkaz výměr'!J128</f>
        <v>0</v>
      </c>
      <c r="G121" s="18">
        <v>0</v>
      </c>
      <c r="H121" s="18">
        <f t="shared" si="5"/>
        <v>0</v>
      </c>
      <c r="I121" s="18">
        <f t="shared" si="6"/>
        <v>0</v>
      </c>
      <c r="J121" s="18">
        <f>'Výkaz výměr'!F128</f>
        <v>1415.02</v>
      </c>
      <c r="K121" s="18">
        <v>0</v>
      </c>
      <c r="L121" s="57">
        <v>1415.02</v>
      </c>
      <c r="M121" s="65" t="str">
        <f t="shared" si="7"/>
        <v>Nefakturováno</v>
      </c>
      <c r="N121" s="18">
        <f t="shared" si="8"/>
        <v>0</v>
      </c>
      <c r="O121" s="18">
        <f t="shared" si="9"/>
        <v>-100</v>
      </c>
      <c r="AE121" s="18">
        <v>0</v>
      </c>
    </row>
    <row r="122" spans="1:31" ht="12.75">
      <c r="A122" s="6" t="s">
        <v>105</v>
      </c>
      <c r="B122" s="6" t="s">
        <v>199</v>
      </c>
      <c r="C122" s="6" t="s">
        <v>214</v>
      </c>
      <c r="D122" s="156" t="s">
        <v>362</v>
      </c>
      <c r="E122" s="157"/>
      <c r="F122" s="18">
        <f>'Výkaz výměr'!J129</f>
        <v>0</v>
      </c>
      <c r="G122" s="18">
        <v>0</v>
      </c>
      <c r="H122" s="18">
        <f t="shared" si="5"/>
        <v>0</v>
      </c>
      <c r="I122" s="18">
        <f t="shared" si="6"/>
        <v>0</v>
      </c>
      <c r="J122" s="18">
        <f>'Výkaz výměr'!F129</f>
        <v>630</v>
      </c>
      <c r="K122" s="18">
        <v>0</v>
      </c>
      <c r="L122" s="57">
        <v>630</v>
      </c>
      <c r="M122" s="65" t="str">
        <f t="shared" si="7"/>
        <v>Nefakturováno</v>
      </c>
      <c r="N122" s="18">
        <f t="shared" si="8"/>
        <v>0</v>
      </c>
      <c r="O122" s="18">
        <f t="shared" si="9"/>
        <v>-100</v>
      </c>
      <c r="AE122" s="18">
        <v>0</v>
      </c>
    </row>
    <row r="123" spans="1:31" ht="12.75">
      <c r="A123" s="6" t="s">
        <v>106</v>
      </c>
      <c r="B123" s="6" t="s">
        <v>199</v>
      </c>
      <c r="C123" s="6" t="s">
        <v>215</v>
      </c>
      <c r="D123" s="156" t="s">
        <v>363</v>
      </c>
      <c r="E123" s="157"/>
      <c r="F123" s="18">
        <f>'Výkaz výměr'!J130</f>
        <v>0</v>
      </c>
      <c r="G123" s="18">
        <v>0</v>
      </c>
      <c r="H123" s="18">
        <f t="shared" si="5"/>
        <v>0</v>
      </c>
      <c r="I123" s="18">
        <f t="shared" si="6"/>
        <v>0</v>
      </c>
      <c r="J123" s="18">
        <f>'Výkaz výměr'!F130</f>
        <v>509.74</v>
      </c>
      <c r="K123" s="18">
        <v>0</v>
      </c>
      <c r="L123" s="57">
        <v>509.74</v>
      </c>
      <c r="M123" s="65" t="str">
        <f t="shared" si="7"/>
        <v>Nefakturováno</v>
      </c>
      <c r="N123" s="18">
        <f t="shared" si="8"/>
        <v>0</v>
      </c>
      <c r="O123" s="18">
        <f t="shared" si="9"/>
        <v>-100</v>
      </c>
      <c r="AE123" s="18">
        <v>0</v>
      </c>
    </row>
    <row r="124" spans="1:31" ht="12.75">
      <c r="A124" s="6" t="s">
        <v>107</v>
      </c>
      <c r="B124" s="6" t="s">
        <v>199</v>
      </c>
      <c r="C124" s="6" t="s">
        <v>216</v>
      </c>
      <c r="D124" s="156" t="s">
        <v>364</v>
      </c>
      <c r="E124" s="157"/>
      <c r="F124" s="18">
        <f>'Výkaz výměr'!J131</f>
        <v>0</v>
      </c>
      <c r="G124" s="18">
        <v>0</v>
      </c>
      <c r="H124" s="18">
        <f t="shared" si="5"/>
        <v>0</v>
      </c>
      <c r="I124" s="18">
        <f t="shared" si="6"/>
        <v>0</v>
      </c>
      <c r="J124" s="18">
        <f>'Výkaz výměr'!F131</f>
        <v>72.82</v>
      </c>
      <c r="K124" s="18">
        <v>0</v>
      </c>
      <c r="L124" s="57">
        <v>72.82</v>
      </c>
      <c r="M124" s="65" t="str">
        <f t="shared" si="7"/>
        <v>Nefakturováno</v>
      </c>
      <c r="N124" s="18">
        <f t="shared" si="8"/>
        <v>0</v>
      </c>
      <c r="O124" s="18">
        <f t="shared" si="9"/>
        <v>-100</v>
      </c>
      <c r="AE124" s="18">
        <v>0</v>
      </c>
    </row>
    <row r="125" spans="1:31" ht="12.75">
      <c r="A125" s="6" t="s">
        <v>108</v>
      </c>
      <c r="B125" s="6" t="s">
        <v>199</v>
      </c>
      <c r="C125" s="6" t="s">
        <v>217</v>
      </c>
      <c r="D125" s="156" t="s">
        <v>365</v>
      </c>
      <c r="E125" s="157"/>
      <c r="F125" s="18">
        <f>'Výkaz výměr'!J132</f>
        <v>0</v>
      </c>
      <c r="G125" s="18">
        <v>0</v>
      </c>
      <c r="H125" s="18">
        <f t="shared" si="5"/>
        <v>0</v>
      </c>
      <c r="I125" s="18">
        <f t="shared" si="6"/>
        <v>0</v>
      </c>
      <c r="J125" s="18">
        <f>'Výkaz výměr'!F132</f>
        <v>72.82</v>
      </c>
      <c r="K125" s="18">
        <v>0</v>
      </c>
      <c r="L125" s="57">
        <v>72.82</v>
      </c>
      <c r="M125" s="65" t="str">
        <f t="shared" si="7"/>
        <v>Nefakturováno</v>
      </c>
      <c r="N125" s="18">
        <f t="shared" si="8"/>
        <v>0</v>
      </c>
      <c r="O125" s="18">
        <f t="shared" si="9"/>
        <v>-100</v>
      </c>
      <c r="AE125" s="18">
        <v>0</v>
      </c>
    </row>
    <row r="126" spans="1:31" ht="12.75">
      <c r="A126" s="6" t="s">
        <v>109</v>
      </c>
      <c r="B126" s="6" t="s">
        <v>199</v>
      </c>
      <c r="C126" s="6" t="s">
        <v>218</v>
      </c>
      <c r="D126" s="156" t="s">
        <v>366</v>
      </c>
      <c r="E126" s="157"/>
      <c r="F126" s="18">
        <f>'Výkaz výměr'!J133</f>
        <v>0</v>
      </c>
      <c r="G126" s="18">
        <v>0</v>
      </c>
      <c r="H126" s="18">
        <f t="shared" si="5"/>
        <v>0</v>
      </c>
      <c r="I126" s="18">
        <f t="shared" si="6"/>
        <v>0</v>
      </c>
      <c r="J126" s="18">
        <f>'Výkaz výměr'!F133</f>
        <v>36.41</v>
      </c>
      <c r="K126" s="18">
        <v>0</v>
      </c>
      <c r="L126" s="57">
        <v>36.41</v>
      </c>
      <c r="M126" s="65" t="str">
        <f t="shared" si="7"/>
        <v>Nefakturováno</v>
      </c>
      <c r="N126" s="18">
        <f t="shared" si="8"/>
        <v>0</v>
      </c>
      <c r="O126" s="18">
        <f t="shared" si="9"/>
        <v>-100</v>
      </c>
      <c r="AE126" s="18">
        <v>0</v>
      </c>
    </row>
    <row r="127" spans="1:31" ht="12.75">
      <c r="A127" s="6" t="s">
        <v>110</v>
      </c>
      <c r="B127" s="6" t="s">
        <v>199</v>
      </c>
      <c r="C127" s="6" t="s">
        <v>219</v>
      </c>
      <c r="D127" s="156" t="s">
        <v>367</v>
      </c>
      <c r="E127" s="157"/>
      <c r="F127" s="18">
        <f>'Výkaz výměr'!J134</f>
        <v>0</v>
      </c>
      <c r="G127" s="18">
        <v>0</v>
      </c>
      <c r="H127" s="18">
        <f t="shared" si="5"/>
        <v>0</v>
      </c>
      <c r="I127" s="18">
        <f t="shared" si="6"/>
        <v>0</v>
      </c>
      <c r="J127" s="18">
        <f>'Výkaz výměr'!F134</f>
        <v>36.41</v>
      </c>
      <c r="K127" s="18">
        <v>0</v>
      </c>
      <c r="L127" s="57">
        <v>36.41</v>
      </c>
      <c r="M127" s="65" t="str">
        <f t="shared" si="7"/>
        <v>Nefakturováno</v>
      </c>
      <c r="N127" s="18">
        <f t="shared" si="8"/>
        <v>0</v>
      </c>
      <c r="O127" s="18">
        <f t="shared" si="9"/>
        <v>-100</v>
      </c>
      <c r="AE127" s="18">
        <v>0</v>
      </c>
    </row>
    <row r="128" spans="1:31" ht="12.75">
      <c r="A128" s="6" t="s">
        <v>111</v>
      </c>
      <c r="B128" s="6" t="s">
        <v>199</v>
      </c>
      <c r="C128" s="6" t="s">
        <v>220</v>
      </c>
      <c r="D128" s="156" t="s">
        <v>368</v>
      </c>
      <c r="E128" s="157"/>
      <c r="F128" s="18">
        <f>'Výkaz výměr'!J135</f>
        <v>0</v>
      </c>
      <c r="G128" s="18">
        <v>0</v>
      </c>
      <c r="H128" s="18">
        <f t="shared" si="5"/>
        <v>0</v>
      </c>
      <c r="I128" s="18">
        <f t="shared" si="6"/>
        <v>0</v>
      </c>
      <c r="J128" s="18">
        <f>'Výkaz výměr'!F135</f>
        <v>509.74</v>
      </c>
      <c r="K128" s="18">
        <v>0</v>
      </c>
      <c r="L128" s="57">
        <v>509.74</v>
      </c>
      <c r="M128" s="65" t="str">
        <f t="shared" si="7"/>
        <v>Nefakturováno</v>
      </c>
      <c r="N128" s="18">
        <f t="shared" si="8"/>
        <v>0</v>
      </c>
      <c r="O128" s="18">
        <f t="shared" si="9"/>
        <v>-100</v>
      </c>
      <c r="AE128" s="18">
        <v>0</v>
      </c>
    </row>
    <row r="129" spans="1:31" ht="12.75">
      <c r="A129" s="6" t="s">
        <v>112</v>
      </c>
      <c r="B129" s="6" t="s">
        <v>199</v>
      </c>
      <c r="C129" s="6" t="s">
        <v>221</v>
      </c>
      <c r="D129" s="156" t="s">
        <v>369</v>
      </c>
      <c r="E129" s="157"/>
      <c r="F129" s="18">
        <f>'Výkaz výměr'!J136</f>
        <v>0</v>
      </c>
      <c r="G129" s="18">
        <v>0</v>
      </c>
      <c r="H129" s="18">
        <f t="shared" si="5"/>
        <v>0</v>
      </c>
      <c r="I129" s="18">
        <f t="shared" si="6"/>
        <v>0</v>
      </c>
      <c r="J129" s="18">
        <f>'Výkaz výměr'!F136</f>
        <v>72.82</v>
      </c>
      <c r="K129" s="18">
        <v>0</v>
      </c>
      <c r="L129" s="57">
        <v>72.82</v>
      </c>
      <c r="M129" s="65" t="str">
        <f t="shared" si="7"/>
        <v>Nefakturováno</v>
      </c>
      <c r="N129" s="18">
        <f t="shared" si="8"/>
        <v>0</v>
      </c>
      <c r="O129" s="18">
        <f t="shared" si="9"/>
        <v>-100</v>
      </c>
      <c r="AE129" s="18">
        <v>0</v>
      </c>
    </row>
    <row r="130" spans="1:31" ht="12.75">
      <c r="A130" s="6" t="s">
        <v>113</v>
      </c>
      <c r="B130" s="6" t="s">
        <v>199</v>
      </c>
      <c r="C130" s="6" t="s">
        <v>222</v>
      </c>
      <c r="D130" s="156" t="s">
        <v>371</v>
      </c>
      <c r="E130" s="157"/>
      <c r="F130" s="18">
        <f>'Výkaz výměr'!J137</f>
        <v>0</v>
      </c>
      <c r="G130" s="18">
        <v>0</v>
      </c>
      <c r="H130" s="18">
        <f t="shared" si="5"/>
        <v>0</v>
      </c>
      <c r="I130" s="18">
        <f t="shared" si="6"/>
        <v>0</v>
      </c>
      <c r="J130" s="18">
        <f>'Výkaz výměr'!F137</f>
        <v>58.256</v>
      </c>
      <c r="K130" s="18">
        <v>0</v>
      </c>
      <c r="L130" s="57">
        <v>58.256</v>
      </c>
      <c r="M130" s="65" t="str">
        <f t="shared" si="7"/>
        <v>Nefakturováno</v>
      </c>
      <c r="N130" s="18">
        <f t="shared" si="8"/>
        <v>0</v>
      </c>
      <c r="O130" s="18">
        <f t="shared" si="9"/>
        <v>-100</v>
      </c>
      <c r="AE130" s="18">
        <v>0</v>
      </c>
    </row>
    <row r="131" spans="1:31" ht="12.75">
      <c r="A131" s="6" t="s">
        <v>114</v>
      </c>
      <c r="B131" s="6" t="s">
        <v>199</v>
      </c>
      <c r="C131" s="6" t="s">
        <v>223</v>
      </c>
      <c r="D131" s="156" t="s">
        <v>372</v>
      </c>
      <c r="E131" s="157"/>
      <c r="F131" s="18">
        <f>'Výkaz výměr'!J138</f>
        <v>0</v>
      </c>
      <c r="G131" s="18">
        <v>0</v>
      </c>
      <c r="H131" s="18">
        <f t="shared" si="5"/>
        <v>0</v>
      </c>
      <c r="I131" s="18">
        <f t="shared" si="6"/>
        <v>0</v>
      </c>
      <c r="J131" s="18">
        <f>'Výkaz výměr'!F138</f>
        <v>18.15</v>
      </c>
      <c r="K131" s="18">
        <v>0</v>
      </c>
      <c r="L131" s="57">
        <v>18.15</v>
      </c>
      <c r="M131" s="65" t="str">
        <f t="shared" si="7"/>
        <v>Nefakturováno</v>
      </c>
      <c r="N131" s="18">
        <f t="shared" si="8"/>
        <v>0</v>
      </c>
      <c r="O131" s="18">
        <f t="shared" si="9"/>
        <v>-100</v>
      </c>
      <c r="AE131" s="18">
        <v>0</v>
      </c>
    </row>
    <row r="132" spans="1:31" ht="12.75">
      <c r="A132" s="6" t="s">
        <v>115</v>
      </c>
      <c r="B132" s="6" t="s">
        <v>199</v>
      </c>
      <c r="C132" s="6" t="s">
        <v>228</v>
      </c>
      <c r="D132" s="156" t="s">
        <v>380</v>
      </c>
      <c r="E132" s="157"/>
      <c r="F132" s="18">
        <f>'Výkaz výměr'!J140</f>
        <v>0</v>
      </c>
      <c r="G132" s="18">
        <v>0</v>
      </c>
      <c r="H132" s="18">
        <f t="shared" si="5"/>
        <v>0</v>
      </c>
      <c r="I132" s="18">
        <f t="shared" si="6"/>
        <v>0</v>
      </c>
      <c r="J132" s="18">
        <f>'Výkaz výměr'!F140</f>
        <v>746.35</v>
      </c>
      <c r="K132" s="18">
        <v>0</v>
      </c>
      <c r="L132" s="57">
        <v>746.35</v>
      </c>
      <c r="M132" s="65" t="str">
        <f t="shared" si="7"/>
        <v>Nefakturováno</v>
      </c>
      <c r="N132" s="18">
        <f t="shared" si="8"/>
        <v>0</v>
      </c>
      <c r="O132" s="18">
        <f t="shared" si="9"/>
        <v>-100</v>
      </c>
      <c r="AE132" s="18">
        <v>0</v>
      </c>
    </row>
    <row r="133" spans="1:31" ht="12.75">
      <c r="A133" s="6" t="s">
        <v>116</v>
      </c>
      <c r="B133" s="6" t="s">
        <v>199</v>
      </c>
      <c r="C133" s="6" t="s">
        <v>224</v>
      </c>
      <c r="D133" s="156" t="s">
        <v>374</v>
      </c>
      <c r="E133" s="157"/>
      <c r="F133" s="18">
        <f>'Výkaz výměr'!J141</f>
        <v>0</v>
      </c>
      <c r="G133" s="18">
        <v>0</v>
      </c>
      <c r="H133" s="18">
        <f t="shared" si="5"/>
        <v>0</v>
      </c>
      <c r="I133" s="18">
        <f t="shared" si="6"/>
        <v>0</v>
      </c>
      <c r="J133" s="18">
        <f>'Výkaz výměr'!F141</f>
        <v>600.71</v>
      </c>
      <c r="K133" s="18">
        <v>0</v>
      </c>
      <c r="L133" s="57">
        <v>600.71</v>
      </c>
      <c r="M133" s="65" t="str">
        <f t="shared" si="7"/>
        <v>Nefakturováno</v>
      </c>
      <c r="N133" s="18">
        <f t="shared" si="8"/>
        <v>0</v>
      </c>
      <c r="O133" s="18">
        <f t="shared" si="9"/>
        <v>-100</v>
      </c>
      <c r="AE133" s="18">
        <v>0</v>
      </c>
    </row>
    <row r="134" spans="1:31" ht="12.75">
      <c r="A134" s="6" t="s">
        <v>117</v>
      </c>
      <c r="B134" s="6" t="s">
        <v>199</v>
      </c>
      <c r="C134" s="6" t="s">
        <v>225</v>
      </c>
      <c r="D134" s="156" t="s">
        <v>376</v>
      </c>
      <c r="E134" s="157"/>
      <c r="F134" s="18">
        <f>'Výkaz výměr'!J143</f>
        <v>0</v>
      </c>
      <c r="G134" s="18">
        <v>0</v>
      </c>
      <c r="H134" s="18">
        <f t="shared" si="5"/>
        <v>0</v>
      </c>
      <c r="I134" s="18">
        <f t="shared" si="6"/>
        <v>0</v>
      </c>
      <c r="J134" s="18">
        <f>'Výkaz výměr'!F143</f>
        <v>2912.8</v>
      </c>
      <c r="K134" s="18">
        <v>0</v>
      </c>
      <c r="L134" s="57">
        <v>2912.8</v>
      </c>
      <c r="M134" s="65" t="str">
        <f t="shared" si="7"/>
        <v>Nefakturováno</v>
      </c>
      <c r="N134" s="18">
        <f t="shared" si="8"/>
        <v>0</v>
      </c>
      <c r="O134" s="18">
        <f t="shared" si="9"/>
        <v>-100</v>
      </c>
      <c r="AE134" s="18">
        <v>0</v>
      </c>
    </row>
    <row r="135" spans="1:31" ht="12.75">
      <c r="A135" s="6" t="s">
        <v>118</v>
      </c>
      <c r="B135" s="6" t="s">
        <v>199</v>
      </c>
      <c r="C135" s="6" t="s">
        <v>226</v>
      </c>
      <c r="D135" s="156" t="s">
        <v>378</v>
      </c>
      <c r="E135" s="157"/>
      <c r="F135" s="18">
        <f>'Výkaz výměr'!J145</f>
        <v>0</v>
      </c>
      <c r="G135" s="18">
        <v>0</v>
      </c>
      <c r="H135" s="18">
        <f t="shared" si="5"/>
        <v>0</v>
      </c>
      <c r="I135" s="18">
        <f t="shared" si="6"/>
        <v>0</v>
      </c>
      <c r="J135" s="18">
        <f>'Výkaz výměr'!F145</f>
        <v>145.64</v>
      </c>
      <c r="K135" s="18">
        <v>0</v>
      </c>
      <c r="L135" s="57">
        <v>145.64</v>
      </c>
      <c r="M135" s="65" t="str">
        <f t="shared" si="7"/>
        <v>Nefakturováno</v>
      </c>
      <c r="N135" s="18">
        <f t="shared" si="8"/>
        <v>0</v>
      </c>
      <c r="O135" s="18">
        <f t="shared" si="9"/>
        <v>-100</v>
      </c>
      <c r="AE135" s="18">
        <v>0</v>
      </c>
    </row>
    <row r="136" spans="1:31" ht="12.75">
      <c r="A136" s="6" t="s">
        <v>119</v>
      </c>
      <c r="B136" s="6" t="s">
        <v>199</v>
      </c>
      <c r="C136" s="6" t="s">
        <v>227</v>
      </c>
      <c r="D136" s="156" t="s">
        <v>379</v>
      </c>
      <c r="E136" s="157"/>
      <c r="F136" s="18">
        <f>'Výkaz výměr'!J146</f>
        <v>0</v>
      </c>
      <c r="G136" s="18">
        <v>0</v>
      </c>
      <c r="H136" s="18">
        <f t="shared" si="5"/>
        <v>0</v>
      </c>
      <c r="I136" s="18">
        <f t="shared" si="6"/>
        <v>0</v>
      </c>
      <c r="J136" s="18">
        <f>'Výkaz výměr'!F146</f>
        <v>728.2</v>
      </c>
      <c r="K136" s="18">
        <v>0</v>
      </c>
      <c r="L136" s="57">
        <v>728.2</v>
      </c>
      <c r="M136" s="65" t="str">
        <f t="shared" si="7"/>
        <v>Nefakturováno</v>
      </c>
      <c r="N136" s="18">
        <f t="shared" si="8"/>
        <v>0</v>
      </c>
      <c r="O136" s="18">
        <f t="shared" si="9"/>
        <v>-100</v>
      </c>
      <c r="AE136" s="18">
        <v>0</v>
      </c>
    </row>
    <row r="137" spans="1:31" ht="12.75">
      <c r="A137" s="6" t="s">
        <v>120</v>
      </c>
      <c r="B137" s="6" t="s">
        <v>199</v>
      </c>
      <c r="C137" s="6" t="s">
        <v>214</v>
      </c>
      <c r="D137" s="156" t="s">
        <v>370</v>
      </c>
      <c r="E137" s="157"/>
      <c r="F137" s="18">
        <f>'Výkaz výměr'!J147</f>
        <v>0</v>
      </c>
      <c r="G137" s="18">
        <v>0</v>
      </c>
      <c r="H137" s="18">
        <f t="shared" si="5"/>
        <v>0</v>
      </c>
      <c r="I137" s="18">
        <f t="shared" si="6"/>
        <v>0</v>
      </c>
      <c r="J137" s="18">
        <f>'Výkaz výměr'!F147</f>
        <v>728.2</v>
      </c>
      <c r="K137" s="18">
        <v>0</v>
      </c>
      <c r="L137" s="57">
        <v>728.2</v>
      </c>
      <c r="M137" s="65" t="str">
        <f t="shared" si="7"/>
        <v>Nefakturováno</v>
      </c>
      <c r="N137" s="18">
        <f t="shared" si="8"/>
        <v>0</v>
      </c>
      <c r="O137" s="18">
        <f t="shared" si="9"/>
        <v>-100</v>
      </c>
      <c r="AE137" s="18">
        <v>0</v>
      </c>
    </row>
    <row r="138" spans="1:31" ht="12.75">
      <c r="A138" s="6" t="s">
        <v>121</v>
      </c>
      <c r="B138" s="6" t="s">
        <v>199</v>
      </c>
      <c r="C138" s="6" t="s">
        <v>229</v>
      </c>
      <c r="D138" s="156" t="s">
        <v>381</v>
      </c>
      <c r="E138" s="157"/>
      <c r="F138" s="18">
        <f>'Výkaz výměr'!J148</f>
        <v>0</v>
      </c>
      <c r="G138" s="18">
        <v>0</v>
      </c>
      <c r="H138" s="18">
        <f t="shared" si="5"/>
        <v>0</v>
      </c>
      <c r="I138" s="18">
        <f t="shared" si="6"/>
        <v>0</v>
      </c>
      <c r="J138" s="18">
        <f>'Výkaz výměr'!F148</f>
        <v>90.75</v>
      </c>
      <c r="K138" s="18">
        <v>0</v>
      </c>
      <c r="L138" s="57">
        <v>90.75</v>
      </c>
      <c r="M138" s="65" t="str">
        <f t="shared" si="7"/>
        <v>Nefakturováno</v>
      </c>
      <c r="N138" s="18">
        <f t="shared" si="8"/>
        <v>0</v>
      </c>
      <c r="O138" s="18">
        <f t="shared" si="9"/>
        <v>-100</v>
      </c>
      <c r="AE138" s="18">
        <v>0</v>
      </c>
    </row>
    <row r="139" spans="1:31" ht="12.75">
      <c r="A139" s="6" t="s">
        <v>122</v>
      </c>
      <c r="B139" s="6" t="s">
        <v>199</v>
      </c>
      <c r="C139" s="6" t="s">
        <v>230</v>
      </c>
      <c r="D139" s="156" t="s">
        <v>382</v>
      </c>
      <c r="E139" s="157"/>
      <c r="F139" s="18">
        <f>'Výkaz výměr'!J149</f>
        <v>0</v>
      </c>
      <c r="G139" s="18">
        <v>0</v>
      </c>
      <c r="H139" s="18">
        <f aca="true" t="shared" si="10" ref="H139:H202">G139-F139</f>
        <v>0</v>
      </c>
      <c r="I139" s="18">
        <f aca="true" t="shared" si="11" ref="I139:I202">IF(F139=0,0,H139/F139*100)</f>
        <v>0</v>
      </c>
      <c r="J139" s="18">
        <f>'Výkaz výměr'!F149</f>
        <v>36.3</v>
      </c>
      <c r="K139" s="18">
        <v>0</v>
      </c>
      <c r="L139" s="57">
        <v>36.3</v>
      </c>
      <c r="M139" s="65" t="str">
        <f aca="true" t="shared" si="12" ref="M139:M202">IF(G139=0,"Nefakturováno",AE139)</f>
        <v>Nefakturováno</v>
      </c>
      <c r="N139" s="18">
        <f aca="true" t="shared" si="13" ref="N139:N202">AE139-G139</f>
        <v>0</v>
      </c>
      <c r="O139" s="18">
        <f aca="true" t="shared" si="14" ref="O139:O202">IF(G139&lt;&gt;0,N139/G139*100,-100)</f>
        <v>-100</v>
      </c>
      <c r="AE139" s="18">
        <v>0</v>
      </c>
    </row>
    <row r="140" spans="1:31" ht="12.75">
      <c r="A140" s="6" t="s">
        <v>123</v>
      </c>
      <c r="B140" s="6" t="s">
        <v>199</v>
      </c>
      <c r="C140" s="6" t="s">
        <v>231</v>
      </c>
      <c r="D140" s="156" t="s">
        <v>383</v>
      </c>
      <c r="E140" s="157"/>
      <c r="F140" s="18">
        <f>'Výkaz výměr'!J150</f>
        <v>0</v>
      </c>
      <c r="G140" s="18">
        <v>0</v>
      </c>
      <c r="H140" s="18">
        <f t="shared" si="10"/>
        <v>0</v>
      </c>
      <c r="I140" s="18">
        <f t="shared" si="11"/>
        <v>0</v>
      </c>
      <c r="J140" s="18">
        <f>'Výkaz výměr'!F150</f>
        <v>26.4</v>
      </c>
      <c r="K140" s="18">
        <v>0</v>
      </c>
      <c r="L140" s="57">
        <v>26.4</v>
      </c>
      <c r="M140" s="65" t="str">
        <f t="shared" si="12"/>
        <v>Nefakturováno</v>
      </c>
      <c r="N140" s="18">
        <f t="shared" si="13"/>
        <v>0</v>
      </c>
      <c r="O140" s="18">
        <f t="shared" si="14"/>
        <v>-100</v>
      </c>
      <c r="AE140" s="18">
        <v>0</v>
      </c>
    </row>
    <row r="141" spans="1:31" ht="12.75">
      <c r="A141" s="6" t="s">
        <v>124</v>
      </c>
      <c r="B141" s="6" t="s">
        <v>199</v>
      </c>
      <c r="C141" s="6" t="s">
        <v>232</v>
      </c>
      <c r="D141" s="156" t="s">
        <v>384</v>
      </c>
      <c r="E141" s="157"/>
      <c r="F141" s="18">
        <f>'Výkaz výměr'!J151</f>
        <v>0</v>
      </c>
      <c r="G141" s="18">
        <v>0</v>
      </c>
      <c r="H141" s="18">
        <f t="shared" si="10"/>
        <v>0</v>
      </c>
      <c r="I141" s="18">
        <f t="shared" si="11"/>
        <v>0</v>
      </c>
      <c r="J141" s="18">
        <f>'Výkaz výměr'!F151</f>
        <v>26.4</v>
      </c>
      <c r="K141" s="18">
        <v>0</v>
      </c>
      <c r="L141" s="57">
        <v>26.4</v>
      </c>
      <c r="M141" s="65" t="str">
        <f t="shared" si="12"/>
        <v>Nefakturováno</v>
      </c>
      <c r="N141" s="18">
        <f t="shared" si="13"/>
        <v>0</v>
      </c>
      <c r="O141" s="18">
        <f t="shared" si="14"/>
        <v>-100</v>
      </c>
      <c r="AE141" s="18">
        <v>0</v>
      </c>
    </row>
    <row r="142" spans="1:31" ht="12.75">
      <c r="A142" s="6" t="s">
        <v>125</v>
      </c>
      <c r="B142" s="6" t="s">
        <v>199</v>
      </c>
      <c r="C142" s="6" t="s">
        <v>233</v>
      </c>
      <c r="D142" s="156" t="s">
        <v>385</v>
      </c>
      <c r="E142" s="157"/>
      <c r="F142" s="18">
        <f>'Výkaz výměr'!J152</f>
        <v>0</v>
      </c>
      <c r="G142" s="18">
        <v>0</v>
      </c>
      <c r="H142" s="18">
        <f t="shared" si="10"/>
        <v>0</v>
      </c>
      <c r="I142" s="18">
        <f t="shared" si="11"/>
        <v>0</v>
      </c>
      <c r="J142" s="18">
        <f>'Výkaz výměr'!F152</f>
        <v>22.7375</v>
      </c>
      <c r="K142" s="18">
        <v>0</v>
      </c>
      <c r="L142" s="57">
        <v>22.7375</v>
      </c>
      <c r="M142" s="65" t="str">
        <f t="shared" si="12"/>
        <v>Nefakturováno</v>
      </c>
      <c r="N142" s="18">
        <f t="shared" si="13"/>
        <v>0</v>
      </c>
      <c r="O142" s="18">
        <f t="shared" si="14"/>
        <v>-100</v>
      </c>
      <c r="AE142" s="18">
        <v>0</v>
      </c>
    </row>
    <row r="143" spans="1:31" ht="12.75">
      <c r="A143" s="6" t="s">
        <v>126</v>
      </c>
      <c r="B143" s="6" t="s">
        <v>199</v>
      </c>
      <c r="C143" s="6" t="s">
        <v>234</v>
      </c>
      <c r="D143" s="156" t="s">
        <v>444</v>
      </c>
      <c r="E143" s="157"/>
      <c r="F143" s="18">
        <f>'Výkaz výměr'!J153</f>
        <v>0</v>
      </c>
      <c r="G143" s="18">
        <v>0</v>
      </c>
      <c r="H143" s="18">
        <f t="shared" si="10"/>
        <v>0</v>
      </c>
      <c r="I143" s="18">
        <f t="shared" si="11"/>
        <v>0</v>
      </c>
      <c r="J143" s="18">
        <f>'Výkaz výměr'!F153</f>
        <v>181.9</v>
      </c>
      <c r="K143" s="18">
        <v>0</v>
      </c>
      <c r="L143" s="57">
        <v>181.9</v>
      </c>
      <c r="M143" s="65" t="str">
        <f t="shared" si="12"/>
        <v>Nefakturováno</v>
      </c>
      <c r="N143" s="18">
        <f t="shared" si="13"/>
        <v>0</v>
      </c>
      <c r="O143" s="18">
        <f t="shared" si="14"/>
        <v>-100</v>
      </c>
      <c r="AE143" s="18">
        <v>0</v>
      </c>
    </row>
    <row r="144" spans="1:31" ht="12.75">
      <c r="A144" s="12"/>
      <c r="B144" s="12" t="s">
        <v>199</v>
      </c>
      <c r="C144" s="12" t="s">
        <v>8</v>
      </c>
      <c r="D144" s="158" t="s">
        <v>387</v>
      </c>
      <c r="E144" s="159"/>
      <c r="F144" s="36">
        <f>SUM(F145:F175)</f>
        <v>0</v>
      </c>
      <c r="G144" s="36">
        <f>SUM(G145:G175)</f>
        <v>0</v>
      </c>
      <c r="H144" s="36">
        <f t="shared" si="10"/>
        <v>0</v>
      </c>
      <c r="I144" s="36">
        <f t="shared" si="11"/>
        <v>0</v>
      </c>
      <c r="J144" s="36">
        <f>SUM(J145:J175)</f>
        <v>3470.2495000000004</v>
      </c>
      <c r="K144" s="36">
        <f>SUM(K145:K175)</f>
        <v>0</v>
      </c>
      <c r="L144" s="60">
        <f>J144-K144</f>
        <v>3470.2495000000004</v>
      </c>
      <c r="M144" s="63" t="str">
        <f t="shared" si="12"/>
        <v>Nefakturováno</v>
      </c>
      <c r="N144" s="36">
        <f t="shared" si="13"/>
        <v>0</v>
      </c>
      <c r="O144" s="36">
        <f t="shared" si="14"/>
        <v>-100</v>
      </c>
      <c r="AE144" s="18">
        <v>0</v>
      </c>
    </row>
    <row r="145" spans="1:31" ht="12.75">
      <c r="A145" s="5" t="s">
        <v>127</v>
      </c>
      <c r="B145" s="5" t="s">
        <v>199</v>
      </c>
      <c r="C145" s="5" t="s">
        <v>285</v>
      </c>
      <c r="D145" s="154" t="s">
        <v>445</v>
      </c>
      <c r="E145" s="155"/>
      <c r="F145" s="17">
        <f>'Výkaz výměr'!J155</f>
        <v>0</v>
      </c>
      <c r="G145" s="17">
        <v>0</v>
      </c>
      <c r="H145" s="17">
        <f t="shared" si="10"/>
        <v>0</v>
      </c>
      <c r="I145" s="17">
        <f t="shared" si="11"/>
        <v>0</v>
      </c>
      <c r="J145" s="17">
        <f>'Výkaz výměr'!F155</f>
        <v>20.3</v>
      </c>
      <c r="K145" s="17">
        <v>0</v>
      </c>
      <c r="L145" s="56">
        <v>20.3</v>
      </c>
      <c r="M145" s="64" t="str">
        <f t="shared" si="12"/>
        <v>Nefakturováno</v>
      </c>
      <c r="N145" s="17">
        <f t="shared" si="13"/>
        <v>0</v>
      </c>
      <c r="O145" s="17">
        <f t="shared" si="14"/>
        <v>-100</v>
      </c>
      <c r="AE145" s="17">
        <v>0</v>
      </c>
    </row>
    <row r="146" spans="1:31" ht="12.75">
      <c r="A146" s="6" t="s">
        <v>128</v>
      </c>
      <c r="B146" s="6" t="s">
        <v>199</v>
      </c>
      <c r="C146" s="6" t="s">
        <v>286</v>
      </c>
      <c r="D146" s="156" t="s">
        <v>446</v>
      </c>
      <c r="E146" s="157"/>
      <c r="F146" s="18">
        <f>'Výkaz výměr'!J156</f>
        <v>0</v>
      </c>
      <c r="G146" s="18">
        <v>0</v>
      </c>
      <c r="H146" s="18">
        <f t="shared" si="10"/>
        <v>0</v>
      </c>
      <c r="I146" s="18">
        <f t="shared" si="11"/>
        <v>0</v>
      </c>
      <c r="J146" s="18">
        <f>'Výkaz výměr'!F156</f>
        <v>184.22</v>
      </c>
      <c r="K146" s="18">
        <v>0</v>
      </c>
      <c r="L146" s="57">
        <v>184.22</v>
      </c>
      <c r="M146" s="65" t="str">
        <f t="shared" si="12"/>
        <v>Nefakturováno</v>
      </c>
      <c r="N146" s="18">
        <f t="shared" si="13"/>
        <v>0</v>
      </c>
      <c r="O146" s="18">
        <f t="shared" si="14"/>
        <v>-100</v>
      </c>
      <c r="AE146" s="18">
        <v>0</v>
      </c>
    </row>
    <row r="147" spans="1:31" ht="12.75">
      <c r="A147" s="6" t="s">
        <v>129</v>
      </c>
      <c r="B147" s="6" t="s">
        <v>199</v>
      </c>
      <c r="C147" s="6" t="s">
        <v>287</v>
      </c>
      <c r="D147" s="156" t="s">
        <v>447</v>
      </c>
      <c r="E147" s="157"/>
      <c r="F147" s="18">
        <f>'Výkaz výměr'!J157</f>
        <v>0</v>
      </c>
      <c r="G147" s="18">
        <v>0</v>
      </c>
      <c r="H147" s="18">
        <f t="shared" si="10"/>
        <v>0</v>
      </c>
      <c r="I147" s="18">
        <f t="shared" si="11"/>
        <v>0</v>
      </c>
      <c r="J147" s="18">
        <f>'Výkaz výměr'!F157</f>
        <v>88.63</v>
      </c>
      <c r="K147" s="18">
        <v>0</v>
      </c>
      <c r="L147" s="57">
        <v>88.63</v>
      </c>
      <c r="M147" s="65" t="str">
        <f t="shared" si="12"/>
        <v>Nefakturováno</v>
      </c>
      <c r="N147" s="18">
        <f t="shared" si="13"/>
        <v>0</v>
      </c>
      <c r="O147" s="18">
        <f t="shared" si="14"/>
        <v>-100</v>
      </c>
      <c r="AE147" s="18">
        <v>0</v>
      </c>
    </row>
    <row r="148" spans="1:31" ht="12.75">
      <c r="A148" s="6" t="s">
        <v>130</v>
      </c>
      <c r="B148" s="6" t="s">
        <v>199</v>
      </c>
      <c r="C148" s="6" t="s">
        <v>213</v>
      </c>
      <c r="D148" s="156" t="s">
        <v>361</v>
      </c>
      <c r="E148" s="157"/>
      <c r="F148" s="18">
        <f>'Výkaz výměr'!J158</f>
        <v>0</v>
      </c>
      <c r="G148" s="18">
        <v>0</v>
      </c>
      <c r="H148" s="18">
        <f t="shared" si="10"/>
        <v>0</v>
      </c>
      <c r="I148" s="18">
        <f t="shared" si="11"/>
        <v>0</v>
      </c>
      <c r="J148" s="18">
        <f>'Výkaz výměr'!F158</f>
        <v>45.8315</v>
      </c>
      <c r="K148" s="18">
        <v>0</v>
      </c>
      <c r="L148" s="57">
        <v>45.8315</v>
      </c>
      <c r="M148" s="65" t="str">
        <f t="shared" si="12"/>
        <v>Nefakturováno</v>
      </c>
      <c r="N148" s="18">
        <f t="shared" si="13"/>
        <v>0</v>
      </c>
      <c r="O148" s="18">
        <f t="shared" si="14"/>
        <v>-100</v>
      </c>
      <c r="AE148" s="18">
        <v>0</v>
      </c>
    </row>
    <row r="149" spans="1:31" ht="12.75">
      <c r="A149" s="6" t="s">
        <v>131</v>
      </c>
      <c r="B149" s="6" t="s">
        <v>199</v>
      </c>
      <c r="C149" s="6" t="s">
        <v>288</v>
      </c>
      <c r="D149" s="156" t="s">
        <v>448</v>
      </c>
      <c r="E149" s="157"/>
      <c r="F149" s="18">
        <f>'Výkaz výměr'!J159</f>
        <v>0</v>
      </c>
      <c r="G149" s="18">
        <v>0</v>
      </c>
      <c r="H149" s="18">
        <f t="shared" si="10"/>
        <v>0</v>
      </c>
      <c r="I149" s="18">
        <f t="shared" si="11"/>
        <v>0</v>
      </c>
      <c r="J149" s="18">
        <f>'Výkaz výměr'!F159</f>
        <v>45.8315</v>
      </c>
      <c r="K149" s="18">
        <v>0</v>
      </c>
      <c r="L149" s="57">
        <v>45.8315</v>
      </c>
      <c r="M149" s="65" t="str">
        <f t="shared" si="12"/>
        <v>Nefakturováno</v>
      </c>
      <c r="N149" s="18">
        <f t="shared" si="13"/>
        <v>0</v>
      </c>
      <c r="O149" s="18">
        <f t="shared" si="14"/>
        <v>-100</v>
      </c>
      <c r="AE149" s="18">
        <v>0</v>
      </c>
    </row>
    <row r="150" spans="1:31" ht="12.75">
      <c r="A150" s="6" t="s">
        <v>132</v>
      </c>
      <c r="B150" s="6" t="s">
        <v>199</v>
      </c>
      <c r="C150" s="6" t="s">
        <v>289</v>
      </c>
      <c r="D150" s="156" t="s">
        <v>449</v>
      </c>
      <c r="E150" s="157"/>
      <c r="F150" s="18">
        <f>'Výkaz výměr'!J160</f>
        <v>0</v>
      </c>
      <c r="G150" s="18">
        <v>0</v>
      </c>
      <c r="H150" s="18">
        <f t="shared" si="10"/>
        <v>0</v>
      </c>
      <c r="I150" s="18">
        <f t="shared" si="11"/>
        <v>0</v>
      </c>
      <c r="J150" s="18">
        <f>'Výkaz výměr'!F160</f>
        <v>183.326</v>
      </c>
      <c r="K150" s="18">
        <v>0</v>
      </c>
      <c r="L150" s="57">
        <v>183.326</v>
      </c>
      <c r="M150" s="65" t="str">
        <f t="shared" si="12"/>
        <v>Nefakturováno</v>
      </c>
      <c r="N150" s="18">
        <f t="shared" si="13"/>
        <v>0</v>
      </c>
      <c r="O150" s="18">
        <f t="shared" si="14"/>
        <v>-100</v>
      </c>
      <c r="AE150" s="18">
        <v>0</v>
      </c>
    </row>
    <row r="151" spans="1:31" ht="12.75">
      <c r="A151" s="6" t="s">
        <v>133</v>
      </c>
      <c r="B151" s="6" t="s">
        <v>199</v>
      </c>
      <c r="C151" s="6" t="s">
        <v>290</v>
      </c>
      <c r="D151" s="156" t="s">
        <v>450</v>
      </c>
      <c r="E151" s="157"/>
      <c r="F151" s="18">
        <f>'Výkaz výměr'!J161</f>
        <v>0</v>
      </c>
      <c r="G151" s="18">
        <v>0</v>
      </c>
      <c r="H151" s="18">
        <f t="shared" si="10"/>
        <v>0</v>
      </c>
      <c r="I151" s="18">
        <f t="shared" si="11"/>
        <v>0</v>
      </c>
      <c r="J151" s="18">
        <f>'Výkaz výměr'!F161</f>
        <v>184.22</v>
      </c>
      <c r="K151" s="18">
        <v>0</v>
      </c>
      <c r="L151" s="57">
        <v>184.22</v>
      </c>
      <c r="M151" s="65" t="str">
        <f t="shared" si="12"/>
        <v>Nefakturováno</v>
      </c>
      <c r="N151" s="18">
        <f t="shared" si="13"/>
        <v>0</v>
      </c>
      <c r="O151" s="18">
        <f t="shared" si="14"/>
        <v>-100</v>
      </c>
      <c r="AE151" s="18">
        <v>0</v>
      </c>
    </row>
    <row r="152" spans="1:31" ht="12.75">
      <c r="A152" s="6" t="s">
        <v>134</v>
      </c>
      <c r="B152" s="6" t="s">
        <v>199</v>
      </c>
      <c r="C152" s="6" t="s">
        <v>291</v>
      </c>
      <c r="D152" s="156" t="s">
        <v>452</v>
      </c>
      <c r="E152" s="157"/>
      <c r="F152" s="18">
        <f>'Výkaz výměr'!J163</f>
        <v>0</v>
      </c>
      <c r="G152" s="18">
        <v>0</v>
      </c>
      <c r="H152" s="18">
        <f t="shared" si="10"/>
        <v>0</v>
      </c>
      <c r="I152" s="18">
        <f t="shared" si="11"/>
        <v>0</v>
      </c>
      <c r="J152" s="18">
        <f>'Výkaz výměr'!F163</f>
        <v>88.63</v>
      </c>
      <c r="K152" s="18">
        <v>0</v>
      </c>
      <c r="L152" s="57">
        <v>88.63</v>
      </c>
      <c r="M152" s="65" t="str">
        <f t="shared" si="12"/>
        <v>Nefakturováno</v>
      </c>
      <c r="N152" s="18">
        <f t="shared" si="13"/>
        <v>0</v>
      </c>
      <c r="O152" s="18">
        <f t="shared" si="14"/>
        <v>-100</v>
      </c>
      <c r="AE152" s="18">
        <v>0</v>
      </c>
    </row>
    <row r="153" spans="1:31" ht="12.75">
      <c r="A153" s="5" t="s">
        <v>135</v>
      </c>
      <c r="B153" s="5" t="s">
        <v>199</v>
      </c>
      <c r="C153" s="5" t="s">
        <v>292</v>
      </c>
      <c r="D153" s="154" t="s">
        <v>454</v>
      </c>
      <c r="E153" s="155"/>
      <c r="F153" s="17">
        <f>'Výkaz výměr'!J165</f>
        <v>0</v>
      </c>
      <c r="G153" s="17">
        <v>0</v>
      </c>
      <c r="H153" s="17">
        <f t="shared" si="10"/>
        <v>0</v>
      </c>
      <c r="I153" s="17">
        <f t="shared" si="11"/>
        <v>0</v>
      </c>
      <c r="J153" s="17">
        <f>'Výkaz výměr'!F165</f>
        <v>300.135</v>
      </c>
      <c r="K153" s="17">
        <v>0</v>
      </c>
      <c r="L153" s="56">
        <v>300.135</v>
      </c>
      <c r="M153" s="64" t="str">
        <f t="shared" si="12"/>
        <v>Nefakturováno</v>
      </c>
      <c r="N153" s="17">
        <f t="shared" si="13"/>
        <v>0</v>
      </c>
      <c r="O153" s="17">
        <f t="shared" si="14"/>
        <v>-100</v>
      </c>
      <c r="AE153" s="17">
        <v>0</v>
      </c>
    </row>
    <row r="154" spans="1:31" ht="12.75">
      <c r="A154" s="6" t="s">
        <v>136</v>
      </c>
      <c r="B154" s="6" t="s">
        <v>199</v>
      </c>
      <c r="C154" s="6" t="s">
        <v>255</v>
      </c>
      <c r="D154" s="156" t="s">
        <v>408</v>
      </c>
      <c r="E154" s="157"/>
      <c r="F154" s="18">
        <f>'Výkaz výměr'!J166</f>
        <v>0</v>
      </c>
      <c r="G154" s="18">
        <v>0</v>
      </c>
      <c r="H154" s="18">
        <f t="shared" si="10"/>
        <v>0</v>
      </c>
      <c r="I154" s="18">
        <f t="shared" si="11"/>
        <v>0</v>
      </c>
      <c r="J154" s="18">
        <f>'Výkaz výměr'!F166</f>
        <v>300.135</v>
      </c>
      <c r="K154" s="18">
        <v>0</v>
      </c>
      <c r="L154" s="57">
        <v>300.135</v>
      </c>
      <c r="M154" s="65" t="str">
        <f t="shared" si="12"/>
        <v>Nefakturováno</v>
      </c>
      <c r="N154" s="18">
        <f t="shared" si="13"/>
        <v>0</v>
      </c>
      <c r="O154" s="18">
        <f t="shared" si="14"/>
        <v>-100</v>
      </c>
      <c r="AE154" s="18">
        <v>0</v>
      </c>
    </row>
    <row r="155" spans="1:31" ht="12.75">
      <c r="A155" s="6" t="s">
        <v>137</v>
      </c>
      <c r="B155" s="6" t="s">
        <v>199</v>
      </c>
      <c r="C155" s="6" t="s">
        <v>293</v>
      </c>
      <c r="D155" s="156" t="s">
        <v>455</v>
      </c>
      <c r="E155" s="157"/>
      <c r="F155" s="18">
        <f>'Výkaz výměr'!J167</f>
        <v>0</v>
      </c>
      <c r="G155" s="18">
        <v>0</v>
      </c>
      <c r="H155" s="18">
        <f t="shared" si="10"/>
        <v>0</v>
      </c>
      <c r="I155" s="18">
        <f t="shared" si="11"/>
        <v>0</v>
      </c>
      <c r="J155" s="18">
        <f>'Výkaz výměr'!F167</f>
        <v>60.027</v>
      </c>
      <c r="K155" s="18">
        <v>0</v>
      </c>
      <c r="L155" s="57">
        <v>60.027</v>
      </c>
      <c r="M155" s="65" t="str">
        <f t="shared" si="12"/>
        <v>Nefakturováno</v>
      </c>
      <c r="N155" s="18">
        <f t="shared" si="13"/>
        <v>0</v>
      </c>
      <c r="O155" s="18">
        <f t="shared" si="14"/>
        <v>-100</v>
      </c>
      <c r="AE155" s="18">
        <v>0</v>
      </c>
    </row>
    <row r="156" spans="1:31" ht="12.75">
      <c r="A156" s="6" t="s">
        <v>138</v>
      </c>
      <c r="B156" s="6" t="s">
        <v>199</v>
      </c>
      <c r="C156" s="6" t="s">
        <v>294</v>
      </c>
      <c r="D156" s="156" t="s">
        <v>457</v>
      </c>
      <c r="E156" s="157"/>
      <c r="F156" s="18">
        <f>'Výkaz výměr'!J169</f>
        <v>0</v>
      </c>
      <c r="G156" s="18">
        <v>0</v>
      </c>
      <c r="H156" s="18">
        <f t="shared" si="10"/>
        <v>0</v>
      </c>
      <c r="I156" s="18">
        <f t="shared" si="11"/>
        <v>0</v>
      </c>
      <c r="J156" s="18">
        <f>'Výkaz výměr'!F169</f>
        <v>68.2125</v>
      </c>
      <c r="K156" s="18">
        <v>0</v>
      </c>
      <c r="L156" s="57">
        <v>68.2125</v>
      </c>
      <c r="M156" s="65" t="str">
        <f t="shared" si="12"/>
        <v>Nefakturováno</v>
      </c>
      <c r="N156" s="18">
        <f t="shared" si="13"/>
        <v>0</v>
      </c>
      <c r="O156" s="18">
        <f t="shared" si="14"/>
        <v>-100</v>
      </c>
      <c r="AE156" s="18">
        <v>0</v>
      </c>
    </row>
    <row r="157" spans="1:31" ht="12.75">
      <c r="A157" s="6" t="s">
        <v>139</v>
      </c>
      <c r="B157" s="6" t="s">
        <v>199</v>
      </c>
      <c r="C157" s="6" t="s">
        <v>257</v>
      </c>
      <c r="D157" s="156" t="s">
        <v>410</v>
      </c>
      <c r="E157" s="157"/>
      <c r="F157" s="18">
        <f>'Výkaz výměr'!J170</f>
        <v>0</v>
      </c>
      <c r="G157" s="18">
        <v>0</v>
      </c>
      <c r="H157" s="18">
        <f t="shared" si="10"/>
        <v>0</v>
      </c>
      <c r="I157" s="18">
        <f t="shared" si="11"/>
        <v>0</v>
      </c>
      <c r="J157" s="18">
        <f>'Výkaz výměr'!F170</f>
        <v>147.339</v>
      </c>
      <c r="K157" s="18">
        <v>0</v>
      </c>
      <c r="L157" s="57">
        <v>147.339</v>
      </c>
      <c r="M157" s="65" t="str">
        <f t="shared" si="12"/>
        <v>Nefakturováno</v>
      </c>
      <c r="N157" s="18">
        <f t="shared" si="13"/>
        <v>0</v>
      </c>
      <c r="O157" s="18">
        <f t="shared" si="14"/>
        <v>-100</v>
      </c>
      <c r="AE157" s="18">
        <v>0</v>
      </c>
    </row>
    <row r="158" spans="1:31" ht="12.75">
      <c r="A158" s="6" t="s">
        <v>140</v>
      </c>
      <c r="B158" s="6" t="s">
        <v>199</v>
      </c>
      <c r="C158" s="6" t="s">
        <v>258</v>
      </c>
      <c r="D158" s="156" t="s">
        <v>412</v>
      </c>
      <c r="E158" s="157"/>
      <c r="F158" s="18">
        <f>'Výkaz výměr'!J172</f>
        <v>0</v>
      </c>
      <c r="G158" s="18">
        <v>0</v>
      </c>
      <c r="H158" s="18">
        <f t="shared" si="10"/>
        <v>0</v>
      </c>
      <c r="I158" s="18">
        <f t="shared" si="11"/>
        <v>0</v>
      </c>
      <c r="J158" s="18">
        <f>'Výkaz výměr'!F172</f>
        <v>423.06</v>
      </c>
      <c r="K158" s="18">
        <v>0</v>
      </c>
      <c r="L158" s="57">
        <v>423.06</v>
      </c>
      <c r="M158" s="65" t="str">
        <f t="shared" si="12"/>
        <v>Nefakturováno</v>
      </c>
      <c r="N158" s="18">
        <f t="shared" si="13"/>
        <v>0</v>
      </c>
      <c r="O158" s="18">
        <f t="shared" si="14"/>
        <v>-100</v>
      </c>
      <c r="AE158" s="18">
        <v>0</v>
      </c>
    </row>
    <row r="159" spans="1:31" ht="12.75">
      <c r="A159" s="5" t="s">
        <v>141</v>
      </c>
      <c r="B159" s="5" t="s">
        <v>199</v>
      </c>
      <c r="C159" s="5" t="s">
        <v>259</v>
      </c>
      <c r="D159" s="154" t="s">
        <v>413</v>
      </c>
      <c r="E159" s="155"/>
      <c r="F159" s="17">
        <f>'Výkaz výměr'!J173</f>
        <v>0</v>
      </c>
      <c r="G159" s="17">
        <v>0</v>
      </c>
      <c r="H159" s="17">
        <f t="shared" si="10"/>
        <v>0</v>
      </c>
      <c r="I159" s="17">
        <f t="shared" si="11"/>
        <v>0</v>
      </c>
      <c r="J159" s="17">
        <f>'Výkaz výměr'!F173</f>
        <v>719.202</v>
      </c>
      <c r="K159" s="17">
        <v>0</v>
      </c>
      <c r="L159" s="56">
        <v>719.202</v>
      </c>
      <c r="M159" s="64" t="str">
        <f t="shared" si="12"/>
        <v>Nefakturováno</v>
      </c>
      <c r="N159" s="17">
        <f t="shared" si="13"/>
        <v>0</v>
      </c>
      <c r="O159" s="17">
        <f t="shared" si="14"/>
        <v>-100</v>
      </c>
      <c r="AE159" s="17">
        <v>0</v>
      </c>
    </row>
    <row r="160" spans="1:31" ht="12.75">
      <c r="A160" s="6" t="s">
        <v>142</v>
      </c>
      <c r="B160" s="6" t="s">
        <v>199</v>
      </c>
      <c r="C160" s="6" t="s">
        <v>260</v>
      </c>
      <c r="D160" s="156" t="s">
        <v>414</v>
      </c>
      <c r="E160" s="157"/>
      <c r="F160" s="18">
        <f>'Výkaz výměr'!J174</f>
        <v>0</v>
      </c>
      <c r="G160" s="18">
        <v>0</v>
      </c>
      <c r="H160" s="18">
        <f t="shared" si="10"/>
        <v>0</v>
      </c>
      <c r="I160" s="18">
        <f t="shared" si="11"/>
        <v>0</v>
      </c>
      <c r="J160" s="18">
        <f>'Výkaz výměr'!F174</f>
        <v>18.15</v>
      </c>
      <c r="K160" s="18">
        <v>0</v>
      </c>
      <c r="L160" s="57">
        <v>18.15</v>
      </c>
      <c r="M160" s="65" t="str">
        <f t="shared" si="12"/>
        <v>Nefakturováno</v>
      </c>
      <c r="N160" s="18">
        <f t="shared" si="13"/>
        <v>0</v>
      </c>
      <c r="O160" s="18">
        <f t="shared" si="14"/>
        <v>-100</v>
      </c>
      <c r="AE160" s="18">
        <v>0</v>
      </c>
    </row>
    <row r="161" spans="1:31" ht="12.75">
      <c r="A161" s="5" t="s">
        <v>143</v>
      </c>
      <c r="B161" s="5" t="s">
        <v>199</v>
      </c>
      <c r="C161" s="5" t="s">
        <v>295</v>
      </c>
      <c r="D161" s="154" t="s">
        <v>458</v>
      </c>
      <c r="E161" s="155"/>
      <c r="F161" s="17">
        <f>'Výkaz výměr'!J175</f>
        <v>0</v>
      </c>
      <c r="G161" s="17">
        <v>0</v>
      </c>
      <c r="H161" s="17">
        <f t="shared" si="10"/>
        <v>0</v>
      </c>
      <c r="I161" s="17">
        <f t="shared" si="11"/>
        <v>0</v>
      </c>
      <c r="J161" s="17">
        <f>'Výkaz výměr'!F175</f>
        <v>3</v>
      </c>
      <c r="K161" s="17">
        <v>0</v>
      </c>
      <c r="L161" s="56">
        <v>3</v>
      </c>
      <c r="M161" s="64" t="str">
        <f t="shared" si="12"/>
        <v>Nefakturováno</v>
      </c>
      <c r="N161" s="17">
        <f t="shared" si="13"/>
        <v>0</v>
      </c>
      <c r="O161" s="17">
        <f t="shared" si="14"/>
        <v>-100</v>
      </c>
      <c r="AE161" s="17">
        <v>0</v>
      </c>
    </row>
    <row r="162" spans="1:31" ht="12.75">
      <c r="A162" s="5" t="s">
        <v>144</v>
      </c>
      <c r="B162" s="5" t="s">
        <v>199</v>
      </c>
      <c r="C162" s="5" t="s">
        <v>296</v>
      </c>
      <c r="D162" s="154" t="s">
        <v>459</v>
      </c>
      <c r="E162" s="155"/>
      <c r="F162" s="17">
        <f>'Výkaz výměr'!J176</f>
        <v>0</v>
      </c>
      <c r="G162" s="17">
        <v>0</v>
      </c>
      <c r="H162" s="17">
        <f t="shared" si="10"/>
        <v>0</v>
      </c>
      <c r="I162" s="17">
        <f t="shared" si="11"/>
        <v>0</v>
      </c>
      <c r="J162" s="17">
        <f>'Výkaz výměr'!F176</f>
        <v>9</v>
      </c>
      <c r="K162" s="17">
        <v>0</v>
      </c>
      <c r="L162" s="56">
        <v>9</v>
      </c>
      <c r="M162" s="64" t="str">
        <f t="shared" si="12"/>
        <v>Nefakturováno</v>
      </c>
      <c r="N162" s="17">
        <f t="shared" si="13"/>
        <v>0</v>
      </c>
      <c r="O162" s="17">
        <f t="shared" si="14"/>
        <v>-100</v>
      </c>
      <c r="AE162" s="17">
        <v>0</v>
      </c>
    </row>
    <row r="163" spans="1:31" ht="12.75">
      <c r="A163" s="6" t="s">
        <v>145</v>
      </c>
      <c r="B163" s="6" t="s">
        <v>199</v>
      </c>
      <c r="C163" s="6" t="s">
        <v>297</v>
      </c>
      <c r="D163" s="156" t="s">
        <v>460</v>
      </c>
      <c r="E163" s="157"/>
      <c r="F163" s="18">
        <f>'Výkaz výměr'!J177</f>
        <v>0</v>
      </c>
      <c r="G163" s="18">
        <v>0</v>
      </c>
      <c r="H163" s="18">
        <f t="shared" si="10"/>
        <v>0</v>
      </c>
      <c r="I163" s="18">
        <f t="shared" si="11"/>
        <v>0</v>
      </c>
      <c r="J163" s="18">
        <f>'Výkaz výměr'!F177</f>
        <v>12</v>
      </c>
      <c r="K163" s="18">
        <v>0</v>
      </c>
      <c r="L163" s="57">
        <v>12</v>
      </c>
      <c r="M163" s="65" t="str">
        <f t="shared" si="12"/>
        <v>Nefakturováno</v>
      </c>
      <c r="N163" s="18">
        <f t="shared" si="13"/>
        <v>0</v>
      </c>
      <c r="O163" s="18">
        <f t="shared" si="14"/>
        <v>-100</v>
      </c>
      <c r="AE163" s="18">
        <v>0</v>
      </c>
    </row>
    <row r="164" spans="1:31" ht="12.75">
      <c r="A164" s="5" t="s">
        <v>146</v>
      </c>
      <c r="B164" s="5" t="s">
        <v>199</v>
      </c>
      <c r="C164" s="5" t="s">
        <v>298</v>
      </c>
      <c r="D164" s="154" t="s">
        <v>461</v>
      </c>
      <c r="E164" s="155"/>
      <c r="F164" s="17">
        <f>'Výkaz výměr'!J178</f>
        <v>0</v>
      </c>
      <c r="G164" s="17">
        <v>0</v>
      </c>
      <c r="H164" s="17">
        <f t="shared" si="10"/>
        <v>0</v>
      </c>
      <c r="I164" s="17">
        <f t="shared" si="11"/>
        <v>0</v>
      </c>
      <c r="J164" s="17">
        <f>'Výkaz výměr'!F178</f>
        <v>8</v>
      </c>
      <c r="K164" s="17">
        <v>0</v>
      </c>
      <c r="L164" s="56">
        <v>8</v>
      </c>
      <c r="M164" s="64" t="str">
        <f t="shared" si="12"/>
        <v>Nefakturováno</v>
      </c>
      <c r="N164" s="17">
        <f t="shared" si="13"/>
        <v>0</v>
      </c>
      <c r="O164" s="17">
        <f t="shared" si="14"/>
        <v>-100</v>
      </c>
      <c r="AE164" s="17">
        <v>0</v>
      </c>
    </row>
    <row r="165" spans="1:31" ht="12.75">
      <c r="A165" s="5" t="s">
        <v>147</v>
      </c>
      <c r="B165" s="5" t="s">
        <v>199</v>
      </c>
      <c r="C165" s="5" t="s">
        <v>299</v>
      </c>
      <c r="D165" s="154" t="s">
        <v>462</v>
      </c>
      <c r="E165" s="155"/>
      <c r="F165" s="17">
        <f>'Výkaz výměr'!J179</f>
        <v>0</v>
      </c>
      <c r="G165" s="17">
        <v>0</v>
      </c>
      <c r="H165" s="17">
        <f t="shared" si="10"/>
        <v>0</v>
      </c>
      <c r="I165" s="17">
        <f t="shared" si="11"/>
        <v>0</v>
      </c>
      <c r="J165" s="17">
        <f>'Výkaz výměr'!F179</f>
        <v>15</v>
      </c>
      <c r="K165" s="17">
        <v>0</v>
      </c>
      <c r="L165" s="56">
        <v>15</v>
      </c>
      <c r="M165" s="64" t="str">
        <f t="shared" si="12"/>
        <v>Nefakturováno</v>
      </c>
      <c r="N165" s="17">
        <f t="shared" si="13"/>
        <v>0</v>
      </c>
      <c r="O165" s="17">
        <f t="shared" si="14"/>
        <v>-100</v>
      </c>
      <c r="AE165" s="17">
        <v>0</v>
      </c>
    </row>
    <row r="166" spans="1:31" ht="12.75">
      <c r="A166" s="6" t="s">
        <v>148</v>
      </c>
      <c r="B166" s="6" t="s">
        <v>199</v>
      </c>
      <c r="C166" s="6" t="s">
        <v>300</v>
      </c>
      <c r="D166" s="156" t="s">
        <v>463</v>
      </c>
      <c r="E166" s="157"/>
      <c r="F166" s="18">
        <f>'Výkaz výměr'!J180</f>
        <v>0</v>
      </c>
      <c r="G166" s="18">
        <v>0</v>
      </c>
      <c r="H166" s="18">
        <f t="shared" si="10"/>
        <v>0</v>
      </c>
      <c r="I166" s="18">
        <f t="shared" si="11"/>
        <v>0</v>
      </c>
      <c r="J166" s="18">
        <f>'Výkaz výměr'!F180</f>
        <v>23</v>
      </c>
      <c r="K166" s="18">
        <v>0</v>
      </c>
      <c r="L166" s="57">
        <v>23</v>
      </c>
      <c r="M166" s="65" t="str">
        <f t="shared" si="12"/>
        <v>Nefakturováno</v>
      </c>
      <c r="N166" s="18">
        <f t="shared" si="13"/>
        <v>0</v>
      </c>
      <c r="O166" s="18">
        <f t="shared" si="14"/>
        <v>-100</v>
      </c>
      <c r="AE166" s="18">
        <v>0</v>
      </c>
    </row>
    <row r="167" spans="1:31" ht="12.75">
      <c r="A167" s="5" t="s">
        <v>149</v>
      </c>
      <c r="B167" s="5" t="s">
        <v>199</v>
      </c>
      <c r="C167" s="5" t="s">
        <v>301</v>
      </c>
      <c r="D167" s="154" t="s">
        <v>464</v>
      </c>
      <c r="E167" s="155"/>
      <c r="F167" s="17">
        <f>'Výkaz výměr'!J181</f>
        <v>0</v>
      </c>
      <c r="G167" s="17">
        <v>0</v>
      </c>
      <c r="H167" s="17">
        <f t="shared" si="10"/>
        <v>0</v>
      </c>
      <c r="I167" s="17">
        <f t="shared" si="11"/>
        <v>0</v>
      </c>
      <c r="J167" s="17">
        <f>'Výkaz výměr'!F181</f>
        <v>26</v>
      </c>
      <c r="K167" s="17">
        <v>0</v>
      </c>
      <c r="L167" s="56">
        <v>26</v>
      </c>
      <c r="M167" s="64" t="str">
        <f t="shared" si="12"/>
        <v>Nefakturováno</v>
      </c>
      <c r="N167" s="17">
        <f t="shared" si="13"/>
        <v>0</v>
      </c>
      <c r="O167" s="17">
        <f t="shared" si="14"/>
        <v>-100</v>
      </c>
      <c r="AE167" s="17">
        <v>0</v>
      </c>
    </row>
    <row r="168" spans="1:31" ht="12.75">
      <c r="A168" s="5" t="s">
        <v>150</v>
      </c>
      <c r="B168" s="5" t="s">
        <v>199</v>
      </c>
      <c r="C168" s="5" t="s">
        <v>302</v>
      </c>
      <c r="D168" s="154" t="s">
        <v>465</v>
      </c>
      <c r="E168" s="155"/>
      <c r="F168" s="17">
        <f>'Výkaz výměr'!J182</f>
        <v>0</v>
      </c>
      <c r="G168" s="17">
        <v>0</v>
      </c>
      <c r="H168" s="17">
        <f t="shared" si="10"/>
        <v>0</v>
      </c>
      <c r="I168" s="17">
        <f t="shared" si="11"/>
        <v>0</v>
      </c>
      <c r="J168" s="17">
        <f>'Výkaz výměr'!F182</f>
        <v>26</v>
      </c>
      <c r="K168" s="17">
        <v>0</v>
      </c>
      <c r="L168" s="56">
        <v>26</v>
      </c>
      <c r="M168" s="64" t="str">
        <f t="shared" si="12"/>
        <v>Nefakturováno</v>
      </c>
      <c r="N168" s="17">
        <f t="shared" si="13"/>
        <v>0</v>
      </c>
      <c r="O168" s="17">
        <f t="shared" si="14"/>
        <v>-100</v>
      </c>
      <c r="AE168" s="17">
        <v>0</v>
      </c>
    </row>
    <row r="169" spans="1:31" ht="12.75">
      <c r="A169" s="5" t="s">
        <v>151</v>
      </c>
      <c r="B169" s="5" t="s">
        <v>199</v>
      </c>
      <c r="C169" s="5" t="s">
        <v>303</v>
      </c>
      <c r="D169" s="154" t="s">
        <v>466</v>
      </c>
      <c r="E169" s="155"/>
      <c r="F169" s="17">
        <f>'Výkaz výměr'!J183</f>
        <v>0</v>
      </c>
      <c r="G169" s="17">
        <v>0</v>
      </c>
      <c r="H169" s="17">
        <f t="shared" si="10"/>
        <v>0</v>
      </c>
      <c r="I169" s="17">
        <f t="shared" si="11"/>
        <v>0</v>
      </c>
      <c r="J169" s="17">
        <f>'Výkaz výměr'!F183</f>
        <v>48</v>
      </c>
      <c r="K169" s="17">
        <v>0</v>
      </c>
      <c r="L169" s="56">
        <v>48</v>
      </c>
      <c r="M169" s="64" t="str">
        <f t="shared" si="12"/>
        <v>Nefakturováno</v>
      </c>
      <c r="N169" s="17">
        <f t="shared" si="13"/>
        <v>0</v>
      </c>
      <c r="O169" s="17">
        <f t="shared" si="14"/>
        <v>-100</v>
      </c>
      <c r="AE169" s="17">
        <v>0</v>
      </c>
    </row>
    <row r="170" spans="1:31" ht="12.75">
      <c r="A170" s="5" t="s">
        <v>152</v>
      </c>
      <c r="B170" s="5" t="s">
        <v>199</v>
      </c>
      <c r="C170" s="5" t="s">
        <v>304</v>
      </c>
      <c r="D170" s="154" t="s">
        <v>467</v>
      </c>
      <c r="E170" s="155"/>
      <c r="F170" s="17">
        <f>'Výkaz výměr'!J184</f>
        <v>0</v>
      </c>
      <c r="G170" s="17">
        <v>0</v>
      </c>
      <c r="H170" s="17">
        <f t="shared" si="10"/>
        <v>0</v>
      </c>
      <c r="I170" s="17">
        <f t="shared" si="11"/>
        <v>0</v>
      </c>
      <c r="J170" s="17">
        <f>'Výkaz výměr'!F184</f>
        <v>48</v>
      </c>
      <c r="K170" s="17">
        <v>0</v>
      </c>
      <c r="L170" s="56">
        <v>48</v>
      </c>
      <c r="M170" s="64" t="str">
        <f t="shared" si="12"/>
        <v>Nefakturováno</v>
      </c>
      <c r="N170" s="17">
        <f t="shared" si="13"/>
        <v>0</v>
      </c>
      <c r="O170" s="17">
        <f t="shared" si="14"/>
        <v>-100</v>
      </c>
      <c r="AE170" s="17">
        <v>0</v>
      </c>
    </row>
    <row r="171" spans="1:31" ht="12.75">
      <c r="A171" s="5" t="s">
        <v>153</v>
      </c>
      <c r="B171" s="5" t="s">
        <v>199</v>
      </c>
      <c r="C171" s="5" t="s">
        <v>305</v>
      </c>
      <c r="D171" s="154" t="s">
        <v>468</v>
      </c>
      <c r="E171" s="155"/>
      <c r="F171" s="17">
        <f>'Výkaz výměr'!J185</f>
        <v>0</v>
      </c>
      <c r="G171" s="17">
        <v>0</v>
      </c>
      <c r="H171" s="17">
        <f t="shared" si="10"/>
        <v>0</v>
      </c>
      <c r="I171" s="17">
        <f t="shared" si="11"/>
        <v>0</v>
      </c>
      <c r="J171" s="17">
        <f>'Výkaz výměr'!F185</f>
        <v>48</v>
      </c>
      <c r="K171" s="17">
        <v>0</v>
      </c>
      <c r="L171" s="56">
        <v>48</v>
      </c>
      <c r="M171" s="64" t="str">
        <f t="shared" si="12"/>
        <v>Nefakturováno</v>
      </c>
      <c r="N171" s="17">
        <f t="shared" si="13"/>
        <v>0</v>
      </c>
      <c r="O171" s="17">
        <f t="shared" si="14"/>
        <v>-100</v>
      </c>
      <c r="AE171" s="17">
        <v>0</v>
      </c>
    </row>
    <row r="172" spans="1:31" ht="12.75">
      <c r="A172" s="5" t="s">
        <v>154</v>
      </c>
      <c r="B172" s="5" t="s">
        <v>199</v>
      </c>
      <c r="C172" s="5" t="s">
        <v>306</v>
      </c>
      <c r="D172" s="154" t="s">
        <v>469</v>
      </c>
      <c r="E172" s="155"/>
      <c r="F172" s="17">
        <f>'Výkaz výměr'!J186</f>
        <v>0</v>
      </c>
      <c r="G172" s="17">
        <v>0</v>
      </c>
      <c r="H172" s="17">
        <f t="shared" si="10"/>
        <v>0</v>
      </c>
      <c r="I172" s="17">
        <f t="shared" si="11"/>
        <v>0</v>
      </c>
      <c r="J172" s="17">
        <f>'Výkaz výměr'!F186</f>
        <v>48</v>
      </c>
      <c r="K172" s="17">
        <v>0</v>
      </c>
      <c r="L172" s="56">
        <v>48</v>
      </c>
      <c r="M172" s="64" t="str">
        <f t="shared" si="12"/>
        <v>Nefakturováno</v>
      </c>
      <c r="N172" s="17">
        <f t="shared" si="13"/>
        <v>0</v>
      </c>
      <c r="O172" s="17">
        <f t="shared" si="14"/>
        <v>-100</v>
      </c>
      <c r="AE172" s="17">
        <v>0</v>
      </c>
    </row>
    <row r="173" spans="1:31" ht="12.75">
      <c r="A173" s="6" t="s">
        <v>155</v>
      </c>
      <c r="B173" s="6" t="s">
        <v>199</v>
      </c>
      <c r="C173" s="6" t="s">
        <v>307</v>
      </c>
      <c r="D173" s="156" t="s">
        <v>470</v>
      </c>
      <c r="E173" s="157"/>
      <c r="F173" s="18">
        <f>'Výkaz výměr'!J187</f>
        <v>0</v>
      </c>
      <c r="G173" s="18">
        <v>0</v>
      </c>
      <c r="H173" s="18">
        <f t="shared" si="10"/>
        <v>0</v>
      </c>
      <c r="I173" s="18">
        <f t="shared" si="11"/>
        <v>0</v>
      </c>
      <c r="J173" s="18">
        <f>'Výkaz výměr'!F187</f>
        <v>244</v>
      </c>
      <c r="K173" s="18">
        <v>0</v>
      </c>
      <c r="L173" s="57">
        <v>244</v>
      </c>
      <c r="M173" s="65" t="str">
        <f t="shared" si="12"/>
        <v>Nefakturováno</v>
      </c>
      <c r="N173" s="18">
        <f t="shared" si="13"/>
        <v>0</v>
      </c>
      <c r="O173" s="18">
        <f t="shared" si="14"/>
        <v>-100</v>
      </c>
      <c r="AE173" s="18">
        <v>0</v>
      </c>
    </row>
    <row r="174" spans="1:31" ht="12.75">
      <c r="A174" s="5" t="s">
        <v>156</v>
      </c>
      <c r="B174" s="5" t="s">
        <v>199</v>
      </c>
      <c r="C174" s="5" t="s">
        <v>308</v>
      </c>
      <c r="D174" s="154" t="s">
        <v>471</v>
      </c>
      <c r="E174" s="155"/>
      <c r="F174" s="17">
        <f>'Výkaz výměr'!J188</f>
        <v>0</v>
      </c>
      <c r="G174" s="17">
        <v>0</v>
      </c>
      <c r="H174" s="17">
        <f t="shared" si="10"/>
        <v>0</v>
      </c>
      <c r="I174" s="17">
        <f t="shared" si="11"/>
        <v>0</v>
      </c>
      <c r="J174" s="17">
        <f>'Výkaz výměr'!F188</f>
        <v>24</v>
      </c>
      <c r="K174" s="17">
        <v>0</v>
      </c>
      <c r="L174" s="56">
        <v>24</v>
      </c>
      <c r="M174" s="64" t="str">
        <f t="shared" si="12"/>
        <v>Nefakturováno</v>
      </c>
      <c r="N174" s="17">
        <f t="shared" si="13"/>
        <v>0</v>
      </c>
      <c r="O174" s="17">
        <f t="shared" si="14"/>
        <v>-100</v>
      </c>
      <c r="AE174" s="17">
        <v>0</v>
      </c>
    </row>
    <row r="175" spans="1:31" ht="12.75">
      <c r="A175" s="5" t="s">
        <v>157</v>
      </c>
      <c r="B175" s="5" t="s">
        <v>199</v>
      </c>
      <c r="C175" s="5" t="s">
        <v>309</v>
      </c>
      <c r="D175" s="154" t="s">
        <v>472</v>
      </c>
      <c r="E175" s="155"/>
      <c r="F175" s="17">
        <f>'Výkaz výměr'!J189</f>
        <v>0</v>
      </c>
      <c r="G175" s="17">
        <v>0</v>
      </c>
      <c r="H175" s="17">
        <f t="shared" si="10"/>
        <v>0</v>
      </c>
      <c r="I175" s="17">
        <f t="shared" si="11"/>
        <v>0</v>
      </c>
      <c r="J175" s="17">
        <f>'Výkaz výměr'!F189</f>
        <v>11</v>
      </c>
      <c r="K175" s="17">
        <v>0</v>
      </c>
      <c r="L175" s="56">
        <v>11</v>
      </c>
      <c r="M175" s="64" t="str">
        <f t="shared" si="12"/>
        <v>Nefakturováno</v>
      </c>
      <c r="N175" s="17">
        <f t="shared" si="13"/>
        <v>0</v>
      </c>
      <c r="O175" s="17">
        <f t="shared" si="14"/>
        <v>-100</v>
      </c>
      <c r="AE175" s="17">
        <v>0</v>
      </c>
    </row>
    <row r="176" spans="1:31" ht="12.75">
      <c r="A176" s="12"/>
      <c r="B176" s="12" t="s">
        <v>199</v>
      </c>
      <c r="C176" s="12" t="s">
        <v>27</v>
      </c>
      <c r="D176" s="158" t="s">
        <v>473</v>
      </c>
      <c r="E176" s="159"/>
      <c r="F176" s="36">
        <f>SUM(F177:F184)</f>
        <v>0</v>
      </c>
      <c r="G176" s="36">
        <f>SUM(G177:G184)</f>
        <v>0</v>
      </c>
      <c r="H176" s="36">
        <f t="shared" si="10"/>
        <v>0</v>
      </c>
      <c r="I176" s="36">
        <f t="shared" si="11"/>
        <v>0</v>
      </c>
      <c r="J176" s="36">
        <f>SUM(J177:J184)</f>
        <v>1706.2999999999997</v>
      </c>
      <c r="K176" s="36">
        <f>SUM(K177:K184)</f>
        <v>0</v>
      </c>
      <c r="L176" s="60">
        <f>J176-K176</f>
        <v>1706.2999999999997</v>
      </c>
      <c r="M176" s="63" t="str">
        <f t="shared" si="12"/>
        <v>Nefakturováno</v>
      </c>
      <c r="N176" s="36">
        <f t="shared" si="13"/>
        <v>0</v>
      </c>
      <c r="O176" s="36">
        <f t="shared" si="14"/>
        <v>-100</v>
      </c>
      <c r="AE176" s="17">
        <v>0</v>
      </c>
    </row>
    <row r="177" spans="1:31" ht="12.75">
      <c r="A177" s="5" t="s">
        <v>158</v>
      </c>
      <c r="B177" s="5" t="s">
        <v>199</v>
      </c>
      <c r="C177" s="5" t="s">
        <v>284</v>
      </c>
      <c r="D177" s="154" t="s">
        <v>474</v>
      </c>
      <c r="E177" s="155"/>
      <c r="F177" s="17">
        <f>'Výkaz výměr'!J191</f>
        <v>0</v>
      </c>
      <c r="G177" s="17">
        <v>0</v>
      </c>
      <c r="H177" s="17">
        <f t="shared" si="10"/>
        <v>0</v>
      </c>
      <c r="I177" s="17">
        <f t="shared" si="11"/>
        <v>0</v>
      </c>
      <c r="J177" s="17">
        <f>'Výkaz výměr'!F191</f>
        <v>453.15</v>
      </c>
      <c r="K177" s="17">
        <v>0</v>
      </c>
      <c r="L177" s="56">
        <v>453.15</v>
      </c>
      <c r="M177" s="64" t="str">
        <f t="shared" si="12"/>
        <v>Nefakturováno</v>
      </c>
      <c r="N177" s="17">
        <f t="shared" si="13"/>
        <v>0</v>
      </c>
      <c r="O177" s="17">
        <f t="shared" si="14"/>
        <v>-100</v>
      </c>
      <c r="AE177" s="17">
        <v>0</v>
      </c>
    </row>
    <row r="178" spans="1:31" ht="12.75">
      <c r="A178" s="6" t="s">
        <v>159</v>
      </c>
      <c r="B178" s="6" t="s">
        <v>199</v>
      </c>
      <c r="C178" s="6" t="s">
        <v>310</v>
      </c>
      <c r="D178" s="156" t="s">
        <v>475</v>
      </c>
      <c r="E178" s="157"/>
      <c r="F178" s="18">
        <f>'Výkaz výměr'!J192</f>
        <v>0</v>
      </c>
      <c r="G178" s="18">
        <v>0</v>
      </c>
      <c r="H178" s="18">
        <f t="shared" si="10"/>
        <v>0</v>
      </c>
      <c r="I178" s="18">
        <f t="shared" si="11"/>
        <v>0</v>
      </c>
      <c r="J178" s="18">
        <f>'Výkaz výměr'!F192</f>
        <v>8</v>
      </c>
      <c r="K178" s="18">
        <v>0</v>
      </c>
      <c r="L178" s="57">
        <v>8</v>
      </c>
      <c r="M178" s="65" t="str">
        <f t="shared" si="12"/>
        <v>Nefakturováno</v>
      </c>
      <c r="N178" s="18">
        <f t="shared" si="13"/>
        <v>0</v>
      </c>
      <c r="O178" s="18">
        <f t="shared" si="14"/>
        <v>-100</v>
      </c>
      <c r="AE178" s="18">
        <v>0</v>
      </c>
    </row>
    <row r="179" spans="1:31" ht="12.75">
      <c r="A179" s="6" t="s">
        <v>160</v>
      </c>
      <c r="B179" s="6" t="s">
        <v>199</v>
      </c>
      <c r="C179" s="6" t="s">
        <v>311</v>
      </c>
      <c r="D179" s="156" t="s">
        <v>477</v>
      </c>
      <c r="E179" s="157"/>
      <c r="F179" s="18">
        <f>'Výkaz výměr'!J194</f>
        <v>0</v>
      </c>
      <c r="G179" s="18">
        <v>0</v>
      </c>
      <c r="H179" s="18">
        <f t="shared" si="10"/>
        <v>0</v>
      </c>
      <c r="I179" s="18">
        <f t="shared" si="11"/>
        <v>0</v>
      </c>
      <c r="J179" s="18">
        <f>'Výkaz výměr'!F194</f>
        <v>13</v>
      </c>
      <c r="K179" s="18">
        <v>0</v>
      </c>
      <c r="L179" s="57">
        <v>13</v>
      </c>
      <c r="M179" s="65" t="str">
        <f t="shared" si="12"/>
        <v>Nefakturováno</v>
      </c>
      <c r="N179" s="18">
        <f t="shared" si="13"/>
        <v>0</v>
      </c>
      <c r="O179" s="18">
        <f t="shared" si="14"/>
        <v>-100</v>
      </c>
      <c r="AE179" s="18">
        <v>0</v>
      </c>
    </row>
    <row r="180" spans="1:31" ht="12.75">
      <c r="A180" s="6" t="s">
        <v>161</v>
      </c>
      <c r="B180" s="6" t="s">
        <v>199</v>
      </c>
      <c r="C180" s="6" t="s">
        <v>312</v>
      </c>
      <c r="D180" s="156" t="s">
        <v>479</v>
      </c>
      <c r="E180" s="157"/>
      <c r="F180" s="18">
        <f>'Výkaz výměr'!J196</f>
        <v>0</v>
      </c>
      <c r="G180" s="18">
        <v>0</v>
      </c>
      <c r="H180" s="18">
        <f t="shared" si="10"/>
        <v>0</v>
      </c>
      <c r="I180" s="18">
        <f t="shared" si="11"/>
        <v>0</v>
      </c>
      <c r="J180" s="18">
        <f>'Výkaz výměr'!F196</f>
        <v>16</v>
      </c>
      <c r="K180" s="18">
        <v>0</v>
      </c>
      <c r="L180" s="57">
        <v>16</v>
      </c>
      <c r="M180" s="65" t="str">
        <f t="shared" si="12"/>
        <v>Nefakturováno</v>
      </c>
      <c r="N180" s="18">
        <f t="shared" si="13"/>
        <v>0</v>
      </c>
      <c r="O180" s="18">
        <f t="shared" si="14"/>
        <v>-100</v>
      </c>
      <c r="AE180" s="18">
        <v>0</v>
      </c>
    </row>
    <row r="181" spans="1:31" ht="12.75">
      <c r="A181" s="6" t="s">
        <v>162</v>
      </c>
      <c r="B181" s="6" t="s">
        <v>199</v>
      </c>
      <c r="C181" s="6" t="s">
        <v>313</v>
      </c>
      <c r="D181" s="156" t="s">
        <v>480</v>
      </c>
      <c r="E181" s="157"/>
      <c r="F181" s="18">
        <f>'Výkaz výměr'!J197</f>
        <v>0</v>
      </c>
      <c r="G181" s="18">
        <v>0</v>
      </c>
      <c r="H181" s="18">
        <f t="shared" si="10"/>
        <v>0</v>
      </c>
      <c r="I181" s="18">
        <f t="shared" si="11"/>
        <v>0</v>
      </c>
      <c r="J181" s="18">
        <f>'Výkaz výměr'!F197</f>
        <v>37</v>
      </c>
      <c r="K181" s="18">
        <v>0</v>
      </c>
      <c r="L181" s="57">
        <v>37</v>
      </c>
      <c r="M181" s="65" t="str">
        <f t="shared" si="12"/>
        <v>Nefakturováno</v>
      </c>
      <c r="N181" s="18">
        <f t="shared" si="13"/>
        <v>0</v>
      </c>
      <c r="O181" s="18">
        <f t="shared" si="14"/>
        <v>-100</v>
      </c>
      <c r="AE181" s="18">
        <v>0</v>
      </c>
    </row>
    <row r="182" spans="1:31" ht="12.75">
      <c r="A182" s="6" t="s">
        <v>163</v>
      </c>
      <c r="B182" s="6" t="s">
        <v>199</v>
      </c>
      <c r="C182" s="6" t="s">
        <v>314</v>
      </c>
      <c r="D182" s="156" t="s">
        <v>481</v>
      </c>
      <c r="E182" s="157"/>
      <c r="F182" s="18">
        <f>'Výkaz výměr'!J198</f>
        <v>0</v>
      </c>
      <c r="G182" s="18">
        <v>0</v>
      </c>
      <c r="H182" s="18">
        <f t="shared" si="10"/>
        <v>0</v>
      </c>
      <c r="I182" s="18">
        <f t="shared" si="11"/>
        <v>0</v>
      </c>
      <c r="J182" s="18">
        <f>'Výkaz výměr'!F198</f>
        <v>453.15</v>
      </c>
      <c r="K182" s="18">
        <v>0</v>
      </c>
      <c r="L182" s="57">
        <v>453.15</v>
      </c>
      <c r="M182" s="65" t="str">
        <f t="shared" si="12"/>
        <v>Nefakturováno</v>
      </c>
      <c r="N182" s="18">
        <f t="shared" si="13"/>
        <v>0</v>
      </c>
      <c r="O182" s="18">
        <f t="shared" si="14"/>
        <v>-100</v>
      </c>
      <c r="AE182" s="18">
        <v>0</v>
      </c>
    </row>
    <row r="183" spans="1:31" ht="12.75">
      <c r="A183" s="6" t="s">
        <v>164</v>
      </c>
      <c r="B183" s="6" t="s">
        <v>199</v>
      </c>
      <c r="C183" s="6" t="s">
        <v>315</v>
      </c>
      <c r="D183" s="156" t="s">
        <v>482</v>
      </c>
      <c r="E183" s="157"/>
      <c r="F183" s="18">
        <f>'Výkaz výměr'!J199</f>
        <v>0</v>
      </c>
      <c r="G183" s="18">
        <v>0</v>
      </c>
      <c r="H183" s="18">
        <f t="shared" si="10"/>
        <v>0</v>
      </c>
      <c r="I183" s="18">
        <f t="shared" si="11"/>
        <v>0</v>
      </c>
      <c r="J183" s="18">
        <f>'Výkaz výměr'!F199</f>
        <v>453.15</v>
      </c>
      <c r="K183" s="18">
        <v>0</v>
      </c>
      <c r="L183" s="57">
        <v>453.15</v>
      </c>
      <c r="M183" s="65" t="str">
        <f t="shared" si="12"/>
        <v>Nefakturováno</v>
      </c>
      <c r="N183" s="18">
        <f t="shared" si="13"/>
        <v>0</v>
      </c>
      <c r="O183" s="18">
        <f t="shared" si="14"/>
        <v>-100</v>
      </c>
      <c r="AE183" s="18">
        <v>0</v>
      </c>
    </row>
    <row r="184" spans="1:31" ht="12.75">
      <c r="A184" s="6" t="s">
        <v>165</v>
      </c>
      <c r="B184" s="6" t="s">
        <v>199</v>
      </c>
      <c r="C184" s="6" t="s">
        <v>316</v>
      </c>
      <c r="D184" s="156" t="s">
        <v>483</v>
      </c>
      <c r="E184" s="157"/>
      <c r="F184" s="18">
        <f>'Výkaz výměr'!J200</f>
        <v>0</v>
      </c>
      <c r="G184" s="18">
        <v>0</v>
      </c>
      <c r="H184" s="18">
        <f t="shared" si="10"/>
        <v>0</v>
      </c>
      <c r="I184" s="18">
        <f t="shared" si="11"/>
        <v>0</v>
      </c>
      <c r="J184" s="18">
        <f>'Výkaz výměr'!F200</f>
        <v>272.85</v>
      </c>
      <c r="K184" s="18">
        <v>0</v>
      </c>
      <c r="L184" s="57">
        <v>272.85</v>
      </c>
      <c r="M184" s="65" t="str">
        <f t="shared" si="12"/>
        <v>Nefakturováno</v>
      </c>
      <c r="N184" s="18">
        <f t="shared" si="13"/>
        <v>0</v>
      </c>
      <c r="O184" s="18">
        <f t="shared" si="14"/>
        <v>-100</v>
      </c>
      <c r="AE184" s="18">
        <v>0</v>
      </c>
    </row>
    <row r="185" spans="1:31" ht="12.75">
      <c r="A185" s="12"/>
      <c r="B185" s="12" t="s">
        <v>199</v>
      </c>
      <c r="C185" s="12" t="s">
        <v>94</v>
      </c>
      <c r="D185" s="158" t="s">
        <v>484</v>
      </c>
      <c r="E185" s="159"/>
      <c r="F185" s="36">
        <f>SUM(F186:F193)</f>
        <v>0</v>
      </c>
      <c r="G185" s="36">
        <f>SUM(G186:G193)</f>
        <v>0</v>
      </c>
      <c r="H185" s="36">
        <f t="shared" si="10"/>
        <v>0</v>
      </c>
      <c r="I185" s="36">
        <f t="shared" si="11"/>
        <v>0</v>
      </c>
      <c r="J185" s="36">
        <f>SUM(J186:J193)</f>
        <v>3002.556</v>
      </c>
      <c r="K185" s="36">
        <f>SUM(K186:K193)</f>
        <v>0</v>
      </c>
      <c r="L185" s="60">
        <f>J185-K185</f>
        <v>3002.556</v>
      </c>
      <c r="M185" s="63" t="str">
        <f t="shared" si="12"/>
        <v>Nefakturováno</v>
      </c>
      <c r="N185" s="36">
        <f t="shared" si="13"/>
        <v>0</v>
      </c>
      <c r="O185" s="36">
        <f t="shared" si="14"/>
        <v>-100</v>
      </c>
      <c r="AE185" s="18">
        <v>0</v>
      </c>
    </row>
    <row r="186" spans="1:31" ht="12.75">
      <c r="A186" s="6" t="s">
        <v>166</v>
      </c>
      <c r="B186" s="6" t="s">
        <v>199</v>
      </c>
      <c r="C186" s="6" t="s">
        <v>317</v>
      </c>
      <c r="D186" s="156" t="s">
        <v>485</v>
      </c>
      <c r="E186" s="157"/>
      <c r="F186" s="18">
        <f>'Výkaz výměr'!J202</f>
        <v>0</v>
      </c>
      <c r="G186" s="18">
        <v>0</v>
      </c>
      <c r="H186" s="18">
        <f t="shared" si="10"/>
        <v>0</v>
      </c>
      <c r="I186" s="18">
        <f t="shared" si="11"/>
        <v>0</v>
      </c>
      <c r="J186" s="18">
        <f>'Výkaz výměr'!F202</f>
        <v>24</v>
      </c>
      <c r="K186" s="18">
        <v>0</v>
      </c>
      <c r="L186" s="57">
        <v>24</v>
      </c>
      <c r="M186" s="65" t="str">
        <f t="shared" si="12"/>
        <v>Nefakturováno</v>
      </c>
      <c r="N186" s="18">
        <f t="shared" si="13"/>
        <v>0</v>
      </c>
      <c r="O186" s="18">
        <f t="shared" si="14"/>
        <v>-100</v>
      </c>
      <c r="AE186" s="18">
        <v>0</v>
      </c>
    </row>
    <row r="187" spans="1:31" ht="12.75">
      <c r="A187" s="6" t="s">
        <v>167</v>
      </c>
      <c r="B187" s="6" t="s">
        <v>199</v>
      </c>
      <c r="C187" s="6" t="s">
        <v>318</v>
      </c>
      <c r="D187" s="156" t="s">
        <v>487</v>
      </c>
      <c r="E187" s="157"/>
      <c r="F187" s="18">
        <f>'Výkaz výměr'!J204</f>
        <v>0</v>
      </c>
      <c r="G187" s="18">
        <v>0</v>
      </c>
      <c r="H187" s="18">
        <f t="shared" si="10"/>
        <v>0</v>
      </c>
      <c r="I187" s="18">
        <f t="shared" si="11"/>
        <v>0</v>
      </c>
      <c r="J187" s="18">
        <f>'Výkaz výměr'!F204</f>
        <v>133.8</v>
      </c>
      <c r="K187" s="18">
        <v>0</v>
      </c>
      <c r="L187" s="57">
        <v>133.8</v>
      </c>
      <c r="M187" s="65" t="str">
        <f t="shared" si="12"/>
        <v>Nefakturováno</v>
      </c>
      <c r="N187" s="18">
        <f t="shared" si="13"/>
        <v>0</v>
      </c>
      <c r="O187" s="18">
        <f t="shared" si="14"/>
        <v>-100</v>
      </c>
      <c r="AE187" s="18">
        <v>0</v>
      </c>
    </row>
    <row r="188" spans="1:31" ht="12.75">
      <c r="A188" s="6" t="s">
        <v>168</v>
      </c>
      <c r="B188" s="6" t="s">
        <v>199</v>
      </c>
      <c r="C188" s="6" t="s">
        <v>319</v>
      </c>
      <c r="D188" s="156" t="s">
        <v>489</v>
      </c>
      <c r="E188" s="157"/>
      <c r="F188" s="18">
        <f>'Výkaz výměr'!J206</f>
        <v>0</v>
      </c>
      <c r="G188" s="18">
        <v>0</v>
      </c>
      <c r="H188" s="18">
        <f t="shared" si="10"/>
        <v>0</v>
      </c>
      <c r="I188" s="18">
        <f t="shared" si="11"/>
        <v>0</v>
      </c>
      <c r="J188" s="18">
        <f>'Výkaz výměr'!F206</f>
        <v>46.5</v>
      </c>
      <c r="K188" s="18">
        <v>0</v>
      </c>
      <c r="L188" s="57">
        <v>46.5</v>
      </c>
      <c r="M188" s="65" t="str">
        <f t="shared" si="12"/>
        <v>Nefakturováno</v>
      </c>
      <c r="N188" s="18">
        <f t="shared" si="13"/>
        <v>0</v>
      </c>
      <c r="O188" s="18">
        <f t="shared" si="14"/>
        <v>-100</v>
      </c>
      <c r="AE188" s="18">
        <v>0</v>
      </c>
    </row>
    <row r="189" spans="1:31" ht="12.75">
      <c r="A189" s="6" t="s">
        <v>169</v>
      </c>
      <c r="B189" s="6" t="s">
        <v>199</v>
      </c>
      <c r="C189" s="6" t="s">
        <v>258</v>
      </c>
      <c r="D189" s="156" t="s">
        <v>412</v>
      </c>
      <c r="E189" s="157"/>
      <c r="F189" s="18">
        <f>'Výkaz výměr'!J208</f>
        <v>0</v>
      </c>
      <c r="G189" s="18">
        <v>0</v>
      </c>
      <c r="H189" s="18">
        <f t="shared" si="10"/>
        <v>0</v>
      </c>
      <c r="I189" s="18">
        <f t="shared" si="11"/>
        <v>0</v>
      </c>
      <c r="J189" s="18">
        <f>'Výkaz výměr'!F208</f>
        <v>288.48</v>
      </c>
      <c r="K189" s="18">
        <v>0</v>
      </c>
      <c r="L189" s="57">
        <v>288.48</v>
      </c>
      <c r="M189" s="65" t="str">
        <f t="shared" si="12"/>
        <v>Nefakturováno</v>
      </c>
      <c r="N189" s="18">
        <f t="shared" si="13"/>
        <v>0</v>
      </c>
      <c r="O189" s="18">
        <f t="shared" si="14"/>
        <v>-100</v>
      </c>
      <c r="AE189" s="18">
        <v>0</v>
      </c>
    </row>
    <row r="190" spans="1:31" ht="12.75">
      <c r="A190" s="5" t="s">
        <v>170</v>
      </c>
      <c r="B190" s="5" t="s">
        <v>199</v>
      </c>
      <c r="C190" s="5" t="s">
        <v>259</v>
      </c>
      <c r="D190" s="154" t="s">
        <v>413</v>
      </c>
      <c r="E190" s="155"/>
      <c r="F190" s="17">
        <f>'Výkaz výměr'!J209</f>
        <v>0</v>
      </c>
      <c r="G190" s="17">
        <v>0</v>
      </c>
      <c r="H190" s="17">
        <f t="shared" si="10"/>
        <v>0</v>
      </c>
      <c r="I190" s="17">
        <f t="shared" si="11"/>
        <v>0</v>
      </c>
      <c r="J190" s="17">
        <f>'Výkaz výměr'!F209</f>
        <v>490.416</v>
      </c>
      <c r="K190" s="17">
        <v>0</v>
      </c>
      <c r="L190" s="56">
        <v>490.416</v>
      </c>
      <c r="M190" s="64" t="str">
        <f t="shared" si="12"/>
        <v>Nefakturováno</v>
      </c>
      <c r="N190" s="17">
        <f t="shared" si="13"/>
        <v>0</v>
      </c>
      <c r="O190" s="17">
        <f t="shared" si="14"/>
        <v>-100</v>
      </c>
      <c r="AE190" s="17">
        <v>0</v>
      </c>
    </row>
    <row r="191" spans="1:31" ht="12.75">
      <c r="A191" s="6" t="s">
        <v>171</v>
      </c>
      <c r="B191" s="6" t="s">
        <v>199</v>
      </c>
      <c r="C191" s="6" t="s">
        <v>214</v>
      </c>
      <c r="D191" s="156" t="s">
        <v>370</v>
      </c>
      <c r="E191" s="157"/>
      <c r="F191" s="18">
        <f>'Výkaz výměr'!J210</f>
        <v>0</v>
      </c>
      <c r="G191" s="18">
        <v>0</v>
      </c>
      <c r="H191" s="18">
        <f t="shared" si="10"/>
        <v>0</v>
      </c>
      <c r="I191" s="18">
        <f t="shared" si="11"/>
        <v>0</v>
      </c>
      <c r="J191" s="18">
        <f>'Výkaz výměr'!F210</f>
        <v>288.48</v>
      </c>
      <c r="K191" s="18">
        <v>0</v>
      </c>
      <c r="L191" s="57">
        <v>288.48</v>
      </c>
      <c r="M191" s="65" t="str">
        <f t="shared" si="12"/>
        <v>Nefakturováno</v>
      </c>
      <c r="N191" s="18">
        <f t="shared" si="13"/>
        <v>0</v>
      </c>
      <c r="O191" s="18">
        <f t="shared" si="14"/>
        <v>-100</v>
      </c>
      <c r="AE191" s="18">
        <v>0</v>
      </c>
    </row>
    <row r="192" spans="1:31" ht="12.75">
      <c r="A192" s="6" t="s">
        <v>172</v>
      </c>
      <c r="B192" s="6" t="s">
        <v>199</v>
      </c>
      <c r="C192" s="6" t="s">
        <v>225</v>
      </c>
      <c r="D192" s="156" t="s">
        <v>376</v>
      </c>
      <c r="E192" s="157"/>
      <c r="F192" s="18">
        <f>'Výkaz výměr'!J211</f>
        <v>0</v>
      </c>
      <c r="G192" s="18">
        <v>0</v>
      </c>
      <c r="H192" s="18">
        <f t="shared" si="10"/>
        <v>0</v>
      </c>
      <c r="I192" s="18">
        <f t="shared" si="11"/>
        <v>0</v>
      </c>
      <c r="J192" s="18">
        <f>'Výkaz výměr'!F211</f>
        <v>1442.4</v>
      </c>
      <c r="K192" s="18">
        <v>0</v>
      </c>
      <c r="L192" s="57">
        <v>1442.4</v>
      </c>
      <c r="M192" s="65" t="str">
        <f t="shared" si="12"/>
        <v>Nefakturováno</v>
      </c>
      <c r="N192" s="18">
        <f t="shared" si="13"/>
        <v>0</v>
      </c>
      <c r="O192" s="18">
        <f t="shared" si="14"/>
        <v>-100</v>
      </c>
      <c r="AE192" s="18">
        <v>0</v>
      </c>
    </row>
    <row r="193" spans="1:31" ht="12.75">
      <c r="A193" s="6" t="s">
        <v>173</v>
      </c>
      <c r="B193" s="6" t="s">
        <v>199</v>
      </c>
      <c r="C193" s="6" t="s">
        <v>224</v>
      </c>
      <c r="D193" s="156" t="s">
        <v>374</v>
      </c>
      <c r="E193" s="157"/>
      <c r="F193" s="18">
        <f>'Výkaz výměr'!J213</f>
        <v>0</v>
      </c>
      <c r="G193" s="18">
        <v>0</v>
      </c>
      <c r="H193" s="18">
        <f t="shared" si="10"/>
        <v>0</v>
      </c>
      <c r="I193" s="18">
        <f t="shared" si="11"/>
        <v>0</v>
      </c>
      <c r="J193" s="18">
        <f>'Výkaz výměr'!F213</f>
        <v>288.48</v>
      </c>
      <c r="K193" s="18">
        <v>0</v>
      </c>
      <c r="L193" s="57">
        <v>288.48</v>
      </c>
      <c r="M193" s="65" t="str">
        <f t="shared" si="12"/>
        <v>Nefakturováno</v>
      </c>
      <c r="N193" s="18">
        <f t="shared" si="13"/>
        <v>0</v>
      </c>
      <c r="O193" s="18">
        <f t="shared" si="14"/>
        <v>-100</v>
      </c>
      <c r="AE193" s="18">
        <v>0</v>
      </c>
    </row>
    <row r="194" spans="1:31" ht="12.75">
      <c r="A194" s="12"/>
      <c r="B194" s="12" t="s">
        <v>199</v>
      </c>
      <c r="C194" s="12" t="s">
        <v>282</v>
      </c>
      <c r="D194" s="158" t="s">
        <v>438</v>
      </c>
      <c r="E194" s="159"/>
      <c r="F194" s="36">
        <f>SUM(F195:F195)</f>
        <v>0</v>
      </c>
      <c r="G194" s="36">
        <f>SUM(G195:G195)</f>
        <v>0</v>
      </c>
      <c r="H194" s="36">
        <f t="shared" si="10"/>
        <v>0</v>
      </c>
      <c r="I194" s="36">
        <f t="shared" si="11"/>
        <v>0</v>
      </c>
      <c r="J194" s="36">
        <f>SUM(J195:J195)</f>
        <v>3389.24</v>
      </c>
      <c r="K194" s="36">
        <f>SUM(K195:K195)</f>
        <v>0</v>
      </c>
      <c r="L194" s="60">
        <f>J194-K194</f>
        <v>3389.24</v>
      </c>
      <c r="M194" s="63" t="str">
        <f t="shared" si="12"/>
        <v>Nefakturováno</v>
      </c>
      <c r="N194" s="36">
        <f t="shared" si="13"/>
        <v>0</v>
      </c>
      <c r="O194" s="36">
        <f t="shared" si="14"/>
        <v>-100</v>
      </c>
      <c r="AE194" s="18">
        <v>0</v>
      </c>
    </row>
    <row r="195" spans="1:31" ht="12.75">
      <c r="A195" s="6" t="s">
        <v>174</v>
      </c>
      <c r="B195" s="6" t="s">
        <v>199</v>
      </c>
      <c r="C195" s="6" t="s">
        <v>320</v>
      </c>
      <c r="D195" s="156" t="s">
        <v>490</v>
      </c>
      <c r="E195" s="157"/>
      <c r="F195" s="18">
        <f>'Výkaz výměr'!J216</f>
        <v>0</v>
      </c>
      <c r="G195" s="18">
        <v>0</v>
      </c>
      <c r="H195" s="18">
        <f t="shared" si="10"/>
        <v>0</v>
      </c>
      <c r="I195" s="18">
        <f t="shared" si="11"/>
        <v>0</v>
      </c>
      <c r="J195" s="18">
        <f>'Výkaz výměr'!F216</f>
        <v>3389.24</v>
      </c>
      <c r="K195" s="18">
        <v>0</v>
      </c>
      <c r="L195" s="57">
        <v>3389.24</v>
      </c>
      <c r="M195" s="65" t="str">
        <f t="shared" si="12"/>
        <v>Nefakturováno</v>
      </c>
      <c r="N195" s="18">
        <f t="shared" si="13"/>
        <v>0</v>
      </c>
      <c r="O195" s="18">
        <f t="shared" si="14"/>
        <v>-100</v>
      </c>
      <c r="AE195" s="18">
        <v>0</v>
      </c>
    </row>
    <row r="196" spans="1:31" ht="12.75">
      <c r="A196" s="13"/>
      <c r="B196" s="13" t="s">
        <v>200</v>
      </c>
      <c r="C196" s="13"/>
      <c r="D196" s="160" t="s">
        <v>491</v>
      </c>
      <c r="E196" s="161"/>
      <c r="F196" s="37">
        <f>F197+F199+F202+F211+F216+F218</f>
        <v>0</v>
      </c>
      <c r="G196" s="37">
        <f>G197+G199+G202+G211+G216+G218</f>
        <v>0</v>
      </c>
      <c r="H196" s="37">
        <f t="shared" si="10"/>
        <v>0</v>
      </c>
      <c r="I196" s="37">
        <f t="shared" si="11"/>
        <v>0</v>
      </c>
      <c r="J196" s="37">
        <f>J197+J199+J202+J211+J216+J218</f>
        <v>26869.9841</v>
      </c>
      <c r="K196" s="37">
        <f>K197+K199+K202+K211+K216+K218</f>
        <v>0</v>
      </c>
      <c r="L196" s="61">
        <f>J196-K196</f>
        <v>26869.9841</v>
      </c>
      <c r="M196" s="66" t="str">
        <f t="shared" si="12"/>
        <v>Nefakturováno</v>
      </c>
      <c r="N196" s="37">
        <f t="shared" si="13"/>
        <v>0</v>
      </c>
      <c r="O196" s="37">
        <f t="shared" si="14"/>
        <v>-100</v>
      </c>
      <c r="AE196" s="18">
        <v>0</v>
      </c>
    </row>
    <row r="197" spans="1:31" ht="12.75">
      <c r="A197" s="12"/>
      <c r="B197" s="12" t="s">
        <v>200</v>
      </c>
      <c r="C197" s="12" t="s">
        <v>23</v>
      </c>
      <c r="D197" s="158" t="s">
        <v>492</v>
      </c>
      <c r="E197" s="159"/>
      <c r="F197" s="36">
        <f>SUM(F198:F198)</f>
        <v>0</v>
      </c>
      <c r="G197" s="36">
        <f>SUM(G198:G198)</f>
        <v>0</v>
      </c>
      <c r="H197" s="36">
        <f t="shared" si="10"/>
        <v>0</v>
      </c>
      <c r="I197" s="36">
        <f t="shared" si="11"/>
        <v>0</v>
      </c>
      <c r="J197" s="36">
        <f>SUM(J198:J198)</f>
        <v>3150</v>
      </c>
      <c r="K197" s="36">
        <f>SUM(K198:K198)</f>
        <v>0</v>
      </c>
      <c r="L197" s="60">
        <f>J197-K197</f>
        <v>3150</v>
      </c>
      <c r="M197" s="63" t="str">
        <f t="shared" si="12"/>
        <v>Nefakturováno</v>
      </c>
      <c r="N197" s="36">
        <f t="shared" si="13"/>
        <v>0</v>
      </c>
      <c r="O197" s="36">
        <f t="shared" si="14"/>
        <v>-100</v>
      </c>
      <c r="AE197" s="18">
        <v>0</v>
      </c>
    </row>
    <row r="198" spans="1:31" ht="12.75">
      <c r="A198" s="6" t="s">
        <v>175</v>
      </c>
      <c r="B198" s="6" t="s">
        <v>200</v>
      </c>
      <c r="C198" s="6" t="s">
        <v>321</v>
      </c>
      <c r="D198" s="156" t="s">
        <v>493</v>
      </c>
      <c r="E198" s="157"/>
      <c r="F198" s="18">
        <f>'Výkaz výměr'!J219</f>
        <v>0</v>
      </c>
      <c r="G198" s="18">
        <v>0</v>
      </c>
      <c r="H198" s="18">
        <f t="shared" si="10"/>
        <v>0</v>
      </c>
      <c r="I198" s="18">
        <f t="shared" si="11"/>
        <v>0</v>
      </c>
      <c r="J198" s="18">
        <f>'Výkaz výměr'!F219</f>
        <v>3150</v>
      </c>
      <c r="K198" s="18">
        <v>0</v>
      </c>
      <c r="L198" s="57">
        <v>3150</v>
      </c>
      <c r="M198" s="65" t="str">
        <f t="shared" si="12"/>
        <v>Nefakturováno</v>
      </c>
      <c r="N198" s="18">
        <f t="shared" si="13"/>
        <v>0</v>
      </c>
      <c r="O198" s="18">
        <f t="shared" si="14"/>
        <v>-100</v>
      </c>
      <c r="AE198" s="18">
        <v>0</v>
      </c>
    </row>
    <row r="199" spans="1:31" ht="12.75">
      <c r="A199" s="12"/>
      <c r="B199" s="12" t="s">
        <v>200</v>
      </c>
      <c r="C199" s="12" t="s">
        <v>26</v>
      </c>
      <c r="D199" s="158" t="s">
        <v>494</v>
      </c>
      <c r="E199" s="159"/>
      <c r="F199" s="36">
        <f>SUM(F200:F201)</f>
        <v>0</v>
      </c>
      <c r="G199" s="36">
        <f>SUM(G200:G201)</f>
        <v>0</v>
      </c>
      <c r="H199" s="36">
        <f t="shared" si="10"/>
        <v>0</v>
      </c>
      <c r="I199" s="36">
        <f t="shared" si="11"/>
        <v>0</v>
      </c>
      <c r="J199" s="36">
        <f>SUM(J200:J201)</f>
        <v>3805</v>
      </c>
      <c r="K199" s="36">
        <f>SUM(K200:K201)</f>
        <v>0</v>
      </c>
      <c r="L199" s="60">
        <f>J199-K199</f>
        <v>3805</v>
      </c>
      <c r="M199" s="63" t="str">
        <f t="shared" si="12"/>
        <v>Nefakturováno</v>
      </c>
      <c r="N199" s="36">
        <f t="shared" si="13"/>
        <v>0</v>
      </c>
      <c r="O199" s="36">
        <f t="shared" si="14"/>
        <v>-100</v>
      </c>
      <c r="AE199" s="18">
        <v>0</v>
      </c>
    </row>
    <row r="200" spans="1:31" ht="12.75">
      <c r="A200" s="6" t="s">
        <v>176</v>
      </c>
      <c r="B200" s="6" t="s">
        <v>200</v>
      </c>
      <c r="C200" s="6" t="s">
        <v>322</v>
      </c>
      <c r="D200" s="156" t="s">
        <v>495</v>
      </c>
      <c r="E200" s="157"/>
      <c r="F200" s="18">
        <f>'Výkaz výměr'!J221</f>
        <v>0</v>
      </c>
      <c r="G200" s="18">
        <v>0</v>
      </c>
      <c r="H200" s="18">
        <f t="shared" si="10"/>
        <v>0</v>
      </c>
      <c r="I200" s="18">
        <f t="shared" si="11"/>
        <v>0</v>
      </c>
      <c r="J200" s="18">
        <f>'Výkaz výměr'!F221</f>
        <v>3150</v>
      </c>
      <c r="K200" s="18">
        <v>0</v>
      </c>
      <c r="L200" s="57">
        <v>3150</v>
      </c>
      <c r="M200" s="65" t="str">
        <f t="shared" si="12"/>
        <v>Nefakturováno</v>
      </c>
      <c r="N200" s="18">
        <f t="shared" si="13"/>
        <v>0</v>
      </c>
      <c r="O200" s="18">
        <f t="shared" si="14"/>
        <v>-100</v>
      </c>
      <c r="AE200" s="18">
        <v>0</v>
      </c>
    </row>
    <row r="201" spans="1:31" ht="12.75">
      <c r="A201" s="6" t="s">
        <v>177</v>
      </c>
      <c r="B201" s="6" t="s">
        <v>200</v>
      </c>
      <c r="C201" s="6" t="s">
        <v>323</v>
      </c>
      <c r="D201" s="156" t="s">
        <v>496</v>
      </c>
      <c r="E201" s="157"/>
      <c r="F201" s="18">
        <f>'Výkaz výměr'!J222</f>
        <v>0</v>
      </c>
      <c r="G201" s="18">
        <v>0</v>
      </c>
      <c r="H201" s="18">
        <f t="shared" si="10"/>
        <v>0</v>
      </c>
      <c r="I201" s="18">
        <f t="shared" si="11"/>
        <v>0</v>
      </c>
      <c r="J201" s="18">
        <f>'Výkaz výměr'!F222</f>
        <v>655</v>
      </c>
      <c r="K201" s="18">
        <v>0</v>
      </c>
      <c r="L201" s="57">
        <v>655</v>
      </c>
      <c r="M201" s="65" t="str">
        <f t="shared" si="12"/>
        <v>Nefakturováno</v>
      </c>
      <c r="N201" s="18">
        <f t="shared" si="13"/>
        <v>0</v>
      </c>
      <c r="O201" s="18">
        <f t="shared" si="14"/>
        <v>-100</v>
      </c>
      <c r="AE201" s="18">
        <v>0</v>
      </c>
    </row>
    <row r="202" spans="1:31" ht="12.75">
      <c r="A202" s="12"/>
      <c r="B202" s="12" t="s">
        <v>200</v>
      </c>
      <c r="C202" s="12" t="s">
        <v>61</v>
      </c>
      <c r="D202" s="158" t="s">
        <v>498</v>
      </c>
      <c r="E202" s="159"/>
      <c r="F202" s="36">
        <f>SUM(F203:F210)</f>
        <v>0</v>
      </c>
      <c r="G202" s="36">
        <f>SUM(G203:G210)</f>
        <v>0</v>
      </c>
      <c r="H202" s="36">
        <f t="shared" si="10"/>
        <v>0</v>
      </c>
      <c r="I202" s="36">
        <f t="shared" si="11"/>
        <v>0</v>
      </c>
      <c r="J202" s="36">
        <f>SUM(J203:J210)</f>
        <v>12735</v>
      </c>
      <c r="K202" s="36">
        <f>SUM(K203:K210)</f>
        <v>0</v>
      </c>
      <c r="L202" s="60">
        <f>J202-K202</f>
        <v>12735</v>
      </c>
      <c r="M202" s="63" t="str">
        <f t="shared" si="12"/>
        <v>Nefakturováno</v>
      </c>
      <c r="N202" s="36">
        <f t="shared" si="13"/>
        <v>0</v>
      </c>
      <c r="O202" s="36">
        <f t="shared" si="14"/>
        <v>-100</v>
      </c>
      <c r="AE202" s="18">
        <v>0</v>
      </c>
    </row>
    <row r="203" spans="1:31" ht="12.75">
      <c r="A203" s="6" t="s">
        <v>178</v>
      </c>
      <c r="B203" s="6" t="s">
        <v>200</v>
      </c>
      <c r="C203" s="6" t="s">
        <v>324</v>
      </c>
      <c r="D203" s="156" t="s">
        <v>499</v>
      </c>
      <c r="E203" s="157"/>
      <c r="F203" s="18">
        <f>'Výkaz výměr'!J225</f>
        <v>0</v>
      </c>
      <c r="G203" s="18">
        <v>0</v>
      </c>
      <c r="H203" s="18">
        <f aca="true" t="shared" si="15" ref="H203:H223">G203-F203</f>
        <v>0</v>
      </c>
      <c r="I203" s="18">
        <f aca="true" t="shared" si="16" ref="I203:I223">IF(F203=0,0,H203/F203*100)</f>
        <v>0</v>
      </c>
      <c r="J203" s="18">
        <f>'Výkaz výměr'!F225</f>
        <v>2050</v>
      </c>
      <c r="K203" s="18">
        <v>0</v>
      </c>
      <c r="L203" s="57">
        <v>2050</v>
      </c>
      <c r="M203" s="65" t="str">
        <f aca="true" t="shared" si="17" ref="M203:M223">IF(G203=0,"Nefakturováno",AE203)</f>
        <v>Nefakturováno</v>
      </c>
      <c r="N203" s="18">
        <f aca="true" t="shared" si="18" ref="N203:N223">AE203-G203</f>
        <v>0</v>
      </c>
      <c r="O203" s="18">
        <f aca="true" t="shared" si="19" ref="O203:O223">IF(G203&lt;&gt;0,N203/G203*100,-100)</f>
        <v>-100</v>
      </c>
      <c r="AE203" s="18">
        <v>0</v>
      </c>
    </row>
    <row r="204" spans="1:31" ht="12.75">
      <c r="A204" s="6" t="s">
        <v>179</v>
      </c>
      <c r="B204" s="6" t="s">
        <v>200</v>
      </c>
      <c r="C204" s="6" t="s">
        <v>325</v>
      </c>
      <c r="D204" s="156" t="s">
        <v>501</v>
      </c>
      <c r="E204" s="157"/>
      <c r="F204" s="18">
        <f>'Výkaz výměr'!J227</f>
        <v>0</v>
      </c>
      <c r="G204" s="18">
        <v>0</v>
      </c>
      <c r="H204" s="18">
        <f t="shared" si="15"/>
        <v>0</v>
      </c>
      <c r="I204" s="18">
        <f t="shared" si="16"/>
        <v>0</v>
      </c>
      <c r="J204" s="18">
        <f>'Výkaz výměr'!F227</f>
        <v>2050</v>
      </c>
      <c r="K204" s="18">
        <v>0</v>
      </c>
      <c r="L204" s="57">
        <v>2050</v>
      </c>
      <c r="M204" s="65" t="str">
        <f t="shared" si="17"/>
        <v>Nefakturováno</v>
      </c>
      <c r="N204" s="18">
        <f t="shared" si="18"/>
        <v>0</v>
      </c>
      <c r="O204" s="18">
        <f t="shared" si="19"/>
        <v>-100</v>
      </c>
      <c r="AE204" s="18">
        <v>0</v>
      </c>
    </row>
    <row r="205" spans="1:31" ht="12.75">
      <c r="A205" s="6" t="s">
        <v>180</v>
      </c>
      <c r="B205" s="6" t="s">
        <v>200</v>
      </c>
      <c r="C205" s="6" t="s">
        <v>326</v>
      </c>
      <c r="D205" s="156" t="s">
        <v>502</v>
      </c>
      <c r="E205" s="157"/>
      <c r="F205" s="18">
        <f>'Výkaz výměr'!J229</f>
        <v>0</v>
      </c>
      <c r="G205" s="18">
        <v>0</v>
      </c>
      <c r="H205" s="18">
        <f t="shared" si="15"/>
        <v>0</v>
      </c>
      <c r="I205" s="18">
        <f t="shared" si="16"/>
        <v>0</v>
      </c>
      <c r="J205" s="18">
        <f>'Výkaz výměr'!F229</f>
        <v>2050</v>
      </c>
      <c r="K205" s="18">
        <v>0</v>
      </c>
      <c r="L205" s="57">
        <v>2050</v>
      </c>
      <c r="M205" s="65" t="str">
        <f t="shared" si="17"/>
        <v>Nefakturováno</v>
      </c>
      <c r="N205" s="18">
        <f t="shared" si="18"/>
        <v>0</v>
      </c>
      <c r="O205" s="18">
        <f t="shared" si="19"/>
        <v>-100</v>
      </c>
      <c r="AE205" s="18">
        <v>0</v>
      </c>
    </row>
    <row r="206" spans="1:31" ht="12.75">
      <c r="A206" s="6" t="s">
        <v>181</v>
      </c>
      <c r="B206" s="6" t="s">
        <v>200</v>
      </c>
      <c r="C206" s="6" t="s">
        <v>327</v>
      </c>
      <c r="D206" s="156" t="s">
        <v>503</v>
      </c>
      <c r="E206" s="157"/>
      <c r="F206" s="18">
        <f>'Výkaz výměr'!J230</f>
        <v>0</v>
      </c>
      <c r="G206" s="18">
        <v>0</v>
      </c>
      <c r="H206" s="18">
        <f t="shared" si="15"/>
        <v>0</v>
      </c>
      <c r="I206" s="18">
        <f t="shared" si="16"/>
        <v>0</v>
      </c>
      <c r="J206" s="18">
        <f>'Výkaz výměr'!F230</f>
        <v>2050</v>
      </c>
      <c r="K206" s="18">
        <v>0</v>
      </c>
      <c r="L206" s="57">
        <v>2050</v>
      </c>
      <c r="M206" s="65" t="str">
        <f t="shared" si="17"/>
        <v>Nefakturováno</v>
      </c>
      <c r="N206" s="18">
        <f t="shared" si="18"/>
        <v>0</v>
      </c>
      <c r="O206" s="18">
        <f t="shared" si="19"/>
        <v>-100</v>
      </c>
      <c r="AE206" s="18">
        <v>0</v>
      </c>
    </row>
    <row r="207" spans="1:31" ht="12.75">
      <c r="A207" s="6" t="s">
        <v>182</v>
      </c>
      <c r="B207" s="6" t="s">
        <v>200</v>
      </c>
      <c r="C207" s="6" t="s">
        <v>328</v>
      </c>
      <c r="D207" s="156" t="s">
        <v>504</v>
      </c>
      <c r="E207" s="157"/>
      <c r="F207" s="18">
        <f>'Výkaz výměr'!J231</f>
        <v>0</v>
      </c>
      <c r="G207" s="18">
        <v>0</v>
      </c>
      <c r="H207" s="18">
        <f t="shared" si="15"/>
        <v>0</v>
      </c>
      <c r="I207" s="18">
        <f t="shared" si="16"/>
        <v>0</v>
      </c>
      <c r="J207" s="18">
        <f>'Výkaz výměr'!F231</f>
        <v>4100</v>
      </c>
      <c r="K207" s="18">
        <v>0</v>
      </c>
      <c r="L207" s="57">
        <v>4100</v>
      </c>
      <c r="M207" s="65" t="str">
        <f t="shared" si="17"/>
        <v>Nefakturováno</v>
      </c>
      <c r="N207" s="18">
        <f t="shared" si="18"/>
        <v>0</v>
      </c>
      <c r="O207" s="18">
        <f t="shared" si="19"/>
        <v>-100</v>
      </c>
      <c r="AE207" s="18">
        <v>0</v>
      </c>
    </row>
    <row r="208" spans="1:31" ht="12.75">
      <c r="A208" s="6" t="s">
        <v>183</v>
      </c>
      <c r="B208" s="6" t="s">
        <v>200</v>
      </c>
      <c r="C208" s="6" t="s">
        <v>329</v>
      </c>
      <c r="D208" s="156" t="s">
        <v>505</v>
      </c>
      <c r="E208" s="157"/>
      <c r="F208" s="18">
        <f>'Výkaz výměr'!J232</f>
        <v>0</v>
      </c>
      <c r="G208" s="18">
        <v>0</v>
      </c>
      <c r="H208" s="18">
        <f t="shared" si="15"/>
        <v>0</v>
      </c>
      <c r="I208" s="18">
        <f t="shared" si="16"/>
        <v>0</v>
      </c>
      <c r="J208" s="18">
        <f>'Výkaz výměr'!F232</f>
        <v>43.5</v>
      </c>
      <c r="K208" s="18">
        <v>0</v>
      </c>
      <c r="L208" s="57">
        <v>43.5</v>
      </c>
      <c r="M208" s="65" t="str">
        <f t="shared" si="17"/>
        <v>Nefakturováno</v>
      </c>
      <c r="N208" s="18">
        <f t="shared" si="18"/>
        <v>0</v>
      </c>
      <c r="O208" s="18">
        <f t="shared" si="19"/>
        <v>-100</v>
      </c>
      <c r="AE208" s="18">
        <v>0</v>
      </c>
    </row>
    <row r="209" spans="1:31" ht="12.75">
      <c r="A209" s="6" t="s">
        <v>184</v>
      </c>
      <c r="B209" s="6" t="s">
        <v>200</v>
      </c>
      <c r="C209" s="6" t="s">
        <v>330</v>
      </c>
      <c r="D209" s="156" t="s">
        <v>506</v>
      </c>
      <c r="E209" s="157"/>
      <c r="F209" s="18">
        <f>'Výkaz výměr'!J233</f>
        <v>0</v>
      </c>
      <c r="G209" s="18">
        <v>0</v>
      </c>
      <c r="H209" s="18">
        <f t="shared" si="15"/>
        <v>0</v>
      </c>
      <c r="I209" s="18">
        <f t="shared" si="16"/>
        <v>0</v>
      </c>
      <c r="J209" s="18">
        <f>'Výkaz výměr'!F233</f>
        <v>43.5</v>
      </c>
      <c r="K209" s="18">
        <v>0</v>
      </c>
      <c r="L209" s="57">
        <v>43.5</v>
      </c>
      <c r="M209" s="65" t="str">
        <f t="shared" si="17"/>
        <v>Nefakturováno</v>
      </c>
      <c r="N209" s="18">
        <f t="shared" si="18"/>
        <v>0</v>
      </c>
      <c r="O209" s="18">
        <f t="shared" si="19"/>
        <v>-100</v>
      </c>
      <c r="AE209" s="18">
        <v>0</v>
      </c>
    </row>
    <row r="210" spans="1:31" ht="12.75">
      <c r="A210" s="5" t="s">
        <v>185</v>
      </c>
      <c r="B210" s="5" t="s">
        <v>200</v>
      </c>
      <c r="C210" s="5" t="s">
        <v>331</v>
      </c>
      <c r="D210" s="154" t="s">
        <v>507</v>
      </c>
      <c r="E210" s="155"/>
      <c r="F210" s="17">
        <f>'Výkaz výměr'!J234</f>
        <v>0</v>
      </c>
      <c r="G210" s="17">
        <v>0</v>
      </c>
      <c r="H210" s="17">
        <f t="shared" si="15"/>
        <v>0</v>
      </c>
      <c r="I210" s="17">
        <f t="shared" si="16"/>
        <v>0</v>
      </c>
      <c r="J210" s="17">
        <f>'Výkaz výměr'!F234</f>
        <v>348</v>
      </c>
      <c r="K210" s="17">
        <v>0</v>
      </c>
      <c r="L210" s="56">
        <v>348</v>
      </c>
      <c r="M210" s="64" t="str">
        <f t="shared" si="17"/>
        <v>Nefakturováno</v>
      </c>
      <c r="N210" s="17">
        <f t="shared" si="18"/>
        <v>0</v>
      </c>
      <c r="O210" s="17">
        <f t="shared" si="19"/>
        <v>-100</v>
      </c>
      <c r="AE210" s="17">
        <v>0</v>
      </c>
    </row>
    <row r="211" spans="1:31" ht="12.75">
      <c r="A211" s="12"/>
      <c r="B211" s="12" t="s">
        <v>200</v>
      </c>
      <c r="C211" s="12" t="s">
        <v>64</v>
      </c>
      <c r="D211" s="158" t="s">
        <v>508</v>
      </c>
      <c r="E211" s="159"/>
      <c r="F211" s="36">
        <f>SUM(F212:F215)</f>
        <v>0</v>
      </c>
      <c r="G211" s="36">
        <f>SUM(G212:G215)</f>
        <v>0</v>
      </c>
      <c r="H211" s="36">
        <f t="shared" si="15"/>
        <v>0</v>
      </c>
      <c r="I211" s="36">
        <f t="shared" si="16"/>
        <v>0</v>
      </c>
      <c r="J211" s="36">
        <f>SUM(J212:J215)</f>
        <v>3298</v>
      </c>
      <c r="K211" s="36">
        <f>SUM(K212:K215)</f>
        <v>0</v>
      </c>
      <c r="L211" s="60">
        <f>J211-K211</f>
        <v>3298</v>
      </c>
      <c r="M211" s="63" t="str">
        <f t="shared" si="17"/>
        <v>Nefakturováno</v>
      </c>
      <c r="N211" s="36">
        <f t="shared" si="18"/>
        <v>0</v>
      </c>
      <c r="O211" s="36">
        <f t="shared" si="19"/>
        <v>-100</v>
      </c>
      <c r="AE211" s="17">
        <v>0</v>
      </c>
    </row>
    <row r="212" spans="1:31" ht="12.75">
      <c r="A212" s="6" t="s">
        <v>186</v>
      </c>
      <c r="B212" s="6" t="s">
        <v>200</v>
      </c>
      <c r="C212" s="6" t="s">
        <v>332</v>
      </c>
      <c r="D212" s="156" t="s">
        <v>509</v>
      </c>
      <c r="E212" s="157"/>
      <c r="F212" s="18">
        <f>'Výkaz výměr'!J236</f>
        <v>0</v>
      </c>
      <c r="G212" s="18">
        <v>0</v>
      </c>
      <c r="H212" s="18">
        <f t="shared" si="15"/>
        <v>0</v>
      </c>
      <c r="I212" s="18">
        <f t="shared" si="16"/>
        <v>0</v>
      </c>
      <c r="J212" s="18">
        <f>'Výkaz výměr'!F236</f>
        <v>1100</v>
      </c>
      <c r="K212" s="18">
        <v>0</v>
      </c>
      <c r="L212" s="57">
        <v>1100</v>
      </c>
      <c r="M212" s="65" t="str">
        <f t="shared" si="17"/>
        <v>Nefakturováno</v>
      </c>
      <c r="N212" s="18">
        <f t="shared" si="18"/>
        <v>0</v>
      </c>
      <c r="O212" s="18">
        <f t="shared" si="19"/>
        <v>-100</v>
      </c>
      <c r="AE212" s="18">
        <v>0</v>
      </c>
    </row>
    <row r="213" spans="1:31" ht="12.75">
      <c r="A213" s="6" t="s">
        <v>187</v>
      </c>
      <c r="B213" s="6" t="s">
        <v>200</v>
      </c>
      <c r="C213" s="6" t="s">
        <v>333</v>
      </c>
      <c r="D213" s="156" t="s">
        <v>511</v>
      </c>
      <c r="E213" s="157"/>
      <c r="F213" s="18">
        <f>'Výkaz výměr'!J238</f>
        <v>0</v>
      </c>
      <c r="G213" s="18">
        <v>0</v>
      </c>
      <c r="H213" s="18">
        <f t="shared" si="15"/>
        <v>0</v>
      </c>
      <c r="I213" s="18">
        <f t="shared" si="16"/>
        <v>0</v>
      </c>
      <c r="J213" s="18">
        <f>'Výkaz výměr'!F238</f>
        <v>1100</v>
      </c>
      <c r="K213" s="18">
        <v>0</v>
      </c>
      <c r="L213" s="57">
        <v>1100</v>
      </c>
      <c r="M213" s="65" t="str">
        <f t="shared" si="17"/>
        <v>Nefakturováno</v>
      </c>
      <c r="N213" s="18">
        <f t="shared" si="18"/>
        <v>0</v>
      </c>
      <c r="O213" s="18">
        <f t="shared" si="19"/>
        <v>-100</v>
      </c>
      <c r="AE213" s="18">
        <v>0</v>
      </c>
    </row>
    <row r="214" spans="1:31" ht="12.75">
      <c r="A214" s="6" t="s">
        <v>188</v>
      </c>
      <c r="B214" s="6" t="s">
        <v>200</v>
      </c>
      <c r="C214" s="6" t="s">
        <v>334</v>
      </c>
      <c r="D214" s="156" t="s">
        <v>512</v>
      </c>
      <c r="E214" s="157"/>
      <c r="F214" s="18">
        <f>'Výkaz výměr'!J240</f>
        <v>0</v>
      </c>
      <c r="G214" s="18">
        <v>0</v>
      </c>
      <c r="H214" s="18">
        <f t="shared" si="15"/>
        <v>0</v>
      </c>
      <c r="I214" s="18">
        <f t="shared" si="16"/>
        <v>0</v>
      </c>
      <c r="J214" s="18">
        <f>'Výkaz výměr'!F240</f>
        <v>549</v>
      </c>
      <c r="K214" s="18">
        <v>0</v>
      </c>
      <c r="L214" s="57">
        <v>549</v>
      </c>
      <c r="M214" s="65" t="str">
        <f t="shared" si="17"/>
        <v>Nefakturováno</v>
      </c>
      <c r="N214" s="18">
        <f t="shared" si="18"/>
        <v>0</v>
      </c>
      <c r="O214" s="18">
        <f t="shared" si="19"/>
        <v>-100</v>
      </c>
      <c r="AE214" s="18">
        <v>0</v>
      </c>
    </row>
    <row r="215" spans="1:31" ht="12.75">
      <c r="A215" s="5" t="s">
        <v>189</v>
      </c>
      <c r="B215" s="5" t="s">
        <v>200</v>
      </c>
      <c r="C215" s="5" t="s">
        <v>335</v>
      </c>
      <c r="D215" s="154" t="s">
        <v>513</v>
      </c>
      <c r="E215" s="155"/>
      <c r="F215" s="17">
        <f>'Výkaz výměr'!J241</f>
        <v>0</v>
      </c>
      <c r="G215" s="17">
        <v>0</v>
      </c>
      <c r="H215" s="17">
        <f t="shared" si="15"/>
        <v>0</v>
      </c>
      <c r="I215" s="17">
        <f t="shared" si="16"/>
        <v>0</v>
      </c>
      <c r="J215" s="17">
        <f>'Výkaz výměr'!F241</f>
        <v>549</v>
      </c>
      <c r="K215" s="17">
        <v>0</v>
      </c>
      <c r="L215" s="56">
        <v>549</v>
      </c>
      <c r="M215" s="64" t="str">
        <f t="shared" si="17"/>
        <v>Nefakturováno</v>
      </c>
      <c r="N215" s="17">
        <f t="shared" si="18"/>
        <v>0</v>
      </c>
      <c r="O215" s="17">
        <f t="shared" si="19"/>
        <v>-100</v>
      </c>
      <c r="AE215" s="17">
        <v>0</v>
      </c>
    </row>
    <row r="216" spans="1:31" ht="12.75">
      <c r="A216" s="12"/>
      <c r="B216" s="12" t="s">
        <v>200</v>
      </c>
      <c r="C216" s="12" t="s">
        <v>336</v>
      </c>
      <c r="D216" s="158" t="s">
        <v>514</v>
      </c>
      <c r="E216" s="159"/>
      <c r="F216" s="36">
        <f>SUM(F217:F217)</f>
        <v>0</v>
      </c>
      <c r="G216" s="36">
        <f>SUM(G217:G217)</f>
        <v>0</v>
      </c>
      <c r="H216" s="36">
        <f t="shared" si="15"/>
        <v>0</v>
      </c>
      <c r="I216" s="36">
        <f t="shared" si="16"/>
        <v>0</v>
      </c>
      <c r="J216" s="36">
        <f>SUM(J217:J217)</f>
        <v>3871.9841</v>
      </c>
      <c r="K216" s="36">
        <f>SUM(K217:K217)</f>
        <v>0</v>
      </c>
      <c r="L216" s="60">
        <f>J216-K216</f>
        <v>3871.9841</v>
      </c>
      <c r="M216" s="63" t="str">
        <f t="shared" si="17"/>
        <v>Nefakturováno</v>
      </c>
      <c r="N216" s="36">
        <f t="shared" si="18"/>
        <v>0</v>
      </c>
      <c r="O216" s="36">
        <f t="shared" si="19"/>
        <v>-100</v>
      </c>
      <c r="AE216" s="17">
        <v>0</v>
      </c>
    </row>
    <row r="217" spans="1:31" ht="12.75">
      <c r="A217" s="6" t="s">
        <v>190</v>
      </c>
      <c r="B217" s="6" t="s">
        <v>200</v>
      </c>
      <c r="C217" s="6" t="s">
        <v>337</v>
      </c>
      <c r="D217" s="156" t="s">
        <v>515</v>
      </c>
      <c r="E217" s="157"/>
      <c r="F217" s="18">
        <f>'Výkaz výměr'!J243</f>
        <v>0</v>
      </c>
      <c r="G217" s="18">
        <v>0</v>
      </c>
      <c r="H217" s="18">
        <f t="shared" si="15"/>
        <v>0</v>
      </c>
      <c r="I217" s="18">
        <f t="shared" si="16"/>
        <v>0</v>
      </c>
      <c r="J217" s="18">
        <f>'Výkaz výměr'!F243</f>
        <v>3871.9841</v>
      </c>
      <c r="K217" s="18">
        <v>0</v>
      </c>
      <c r="L217" s="57">
        <v>3871.9841</v>
      </c>
      <c r="M217" s="65" t="str">
        <f t="shared" si="17"/>
        <v>Nefakturováno</v>
      </c>
      <c r="N217" s="18">
        <f t="shared" si="18"/>
        <v>0</v>
      </c>
      <c r="O217" s="18">
        <f t="shared" si="19"/>
        <v>-100</v>
      </c>
      <c r="AE217" s="18">
        <v>0</v>
      </c>
    </row>
    <row r="218" spans="1:31" ht="12.75">
      <c r="A218" s="12"/>
      <c r="B218" s="12" t="s">
        <v>200</v>
      </c>
      <c r="C218" s="12"/>
      <c r="D218" s="158" t="s">
        <v>440</v>
      </c>
      <c r="E218" s="159"/>
      <c r="F218" s="36">
        <f>SUM(F219:F223)</f>
        <v>0</v>
      </c>
      <c r="G218" s="36">
        <f>SUM(G219:G223)</f>
        <v>0</v>
      </c>
      <c r="H218" s="36">
        <f t="shared" si="15"/>
        <v>0</v>
      </c>
      <c r="I218" s="36">
        <f t="shared" si="16"/>
        <v>0</v>
      </c>
      <c r="J218" s="36">
        <f>SUM(J219:J223)</f>
        <v>10</v>
      </c>
      <c r="K218" s="36">
        <f>SUM(K219:K223)</f>
        <v>0</v>
      </c>
      <c r="L218" s="60">
        <f>J218-K218</f>
        <v>10</v>
      </c>
      <c r="M218" s="63" t="str">
        <f t="shared" si="17"/>
        <v>Nefakturováno</v>
      </c>
      <c r="N218" s="36">
        <f t="shared" si="18"/>
        <v>0</v>
      </c>
      <c r="O218" s="36">
        <f t="shared" si="19"/>
        <v>-100</v>
      </c>
      <c r="AE218" s="18">
        <v>0</v>
      </c>
    </row>
    <row r="219" spans="1:31" ht="12.75">
      <c r="A219" s="5" t="s">
        <v>191</v>
      </c>
      <c r="B219" s="5" t="s">
        <v>200</v>
      </c>
      <c r="C219" s="5" t="s">
        <v>284</v>
      </c>
      <c r="D219" s="154" t="s">
        <v>516</v>
      </c>
      <c r="E219" s="155"/>
      <c r="F219" s="17">
        <f>'Výkaz výměr'!J245</f>
        <v>0</v>
      </c>
      <c r="G219" s="17">
        <v>0</v>
      </c>
      <c r="H219" s="17">
        <f t="shared" si="15"/>
        <v>0</v>
      </c>
      <c r="I219" s="17">
        <f t="shared" si="16"/>
        <v>0</v>
      </c>
      <c r="J219" s="17">
        <f>'Výkaz výměr'!F245</f>
        <v>1</v>
      </c>
      <c r="K219" s="17">
        <v>0</v>
      </c>
      <c r="L219" s="56">
        <v>1</v>
      </c>
      <c r="M219" s="64" t="str">
        <f t="shared" si="17"/>
        <v>Nefakturováno</v>
      </c>
      <c r="N219" s="17">
        <f t="shared" si="18"/>
        <v>0</v>
      </c>
      <c r="O219" s="17">
        <f t="shared" si="19"/>
        <v>-100</v>
      </c>
      <c r="AE219" s="17">
        <v>0</v>
      </c>
    </row>
    <row r="220" spans="1:31" ht="12.75">
      <c r="A220" s="5" t="s">
        <v>192</v>
      </c>
      <c r="B220" s="5" t="s">
        <v>200</v>
      </c>
      <c r="C220" s="5" t="s">
        <v>338</v>
      </c>
      <c r="D220" s="154" t="s">
        <v>517</v>
      </c>
      <c r="E220" s="155"/>
      <c r="F220" s="17">
        <f>'Výkaz výměr'!J246</f>
        <v>0</v>
      </c>
      <c r="G220" s="17">
        <v>0</v>
      </c>
      <c r="H220" s="17">
        <f t="shared" si="15"/>
        <v>0</v>
      </c>
      <c r="I220" s="17">
        <f t="shared" si="16"/>
        <v>0</v>
      </c>
      <c r="J220" s="17">
        <f>'Výkaz výměr'!F246</f>
        <v>6</v>
      </c>
      <c r="K220" s="17">
        <v>0</v>
      </c>
      <c r="L220" s="56">
        <v>6</v>
      </c>
      <c r="M220" s="64" t="str">
        <f t="shared" si="17"/>
        <v>Nefakturováno</v>
      </c>
      <c r="N220" s="17">
        <f t="shared" si="18"/>
        <v>0</v>
      </c>
      <c r="O220" s="17">
        <f t="shared" si="19"/>
        <v>-100</v>
      </c>
      <c r="AE220" s="17">
        <v>0</v>
      </c>
    </row>
    <row r="221" spans="1:31" ht="12.75">
      <c r="A221" s="5" t="s">
        <v>193</v>
      </c>
      <c r="B221" s="5" t="s">
        <v>200</v>
      </c>
      <c r="C221" s="5" t="s">
        <v>339</v>
      </c>
      <c r="D221" s="154" t="s">
        <v>518</v>
      </c>
      <c r="E221" s="155"/>
      <c r="F221" s="17">
        <f>'Výkaz výměr'!J247</f>
        <v>0</v>
      </c>
      <c r="G221" s="17">
        <v>0</v>
      </c>
      <c r="H221" s="17">
        <f t="shared" si="15"/>
        <v>0</v>
      </c>
      <c r="I221" s="17">
        <f t="shared" si="16"/>
        <v>0</v>
      </c>
      <c r="J221" s="17">
        <f>'Výkaz výměr'!F247</f>
        <v>1</v>
      </c>
      <c r="K221" s="17">
        <v>0</v>
      </c>
      <c r="L221" s="56">
        <v>1</v>
      </c>
      <c r="M221" s="64" t="str">
        <f t="shared" si="17"/>
        <v>Nefakturováno</v>
      </c>
      <c r="N221" s="17">
        <f t="shared" si="18"/>
        <v>0</v>
      </c>
      <c r="O221" s="17">
        <f t="shared" si="19"/>
        <v>-100</v>
      </c>
      <c r="AE221" s="17">
        <v>0</v>
      </c>
    </row>
    <row r="222" spans="1:31" ht="12.75">
      <c r="A222" s="5" t="s">
        <v>194</v>
      </c>
      <c r="B222" s="5" t="s">
        <v>200</v>
      </c>
      <c r="C222" s="5" t="s">
        <v>340</v>
      </c>
      <c r="D222" s="154" t="s">
        <v>519</v>
      </c>
      <c r="E222" s="155"/>
      <c r="F222" s="17">
        <f>'Výkaz výměr'!J248</f>
        <v>0</v>
      </c>
      <c r="G222" s="17">
        <v>0</v>
      </c>
      <c r="H222" s="17">
        <f t="shared" si="15"/>
        <v>0</v>
      </c>
      <c r="I222" s="17">
        <f t="shared" si="16"/>
        <v>0</v>
      </c>
      <c r="J222" s="17">
        <f>'Výkaz výměr'!F248</f>
        <v>1</v>
      </c>
      <c r="K222" s="17">
        <v>0</v>
      </c>
      <c r="L222" s="56">
        <v>1</v>
      </c>
      <c r="M222" s="64" t="str">
        <f t="shared" si="17"/>
        <v>Nefakturováno</v>
      </c>
      <c r="N222" s="17">
        <f t="shared" si="18"/>
        <v>0</v>
      </c>
      <c r="O222" s="17">
        <f t="shared" si="19"/>
        <v>-100</v>
      </c>
      <c r="AE222" s="17">
        <v>0</v>
      </c>
    </row>
    <row r="223" spans="1:31" ht="12.75">
      <c r="A223" s="5" t="s">
        <v>195</v>
      </c>
      <c r="B223" s="5" t="s">
        <v>200</v>
      </c>
      <c r="C223" s="5" t="s">
        <v>341</v>
      </c>
      <c r="D223" s="154" t="s">
        <v>520</v>
      </c>
      <c r="E223" s="155"/>
      <c r="F223" s="17">
        <f>'Výkaz výměr'!J249</f>
        <v>0</v>
      </c>
      <c r="G223" s="17">
        <v>0</v>
      </c>
      <c r="H223" s="17">
        <f t="shared" si="15"/>
        <v>0</v>
      </c>
      <c r="I223" s="17">
        <f t="shared" si="16"/>
        <v>0</v>
      </c>
      <c r="J223" s="17">
        <f>'Výkaz výměr'!F249</f>
        <v>1</v>
      </c>
      <c r="K223" s="17">
        <v>0</v>
      </c>
      <c r="L223" s="56">
        <v>1</v>
      </c>
      <c r="M223" s="64" t="str">
        <f t="shared" si="17"/>
        <v>Nefakturováno</v>
      </c>
      <c r="N223" s="17">
        <f t="shared" si="18"/>
        <v>0</v>
      </c>
      <c r="O223" s="17">
        <f t="shared" si="19"/>
        <v>-100</v>
      </c>
      <c r="AE223" s="17">
        <v>0</v>
      </c>
    </row>
    <row r="225" ht="11.25" customHeight="1">
      <c r="A225" s="8" t="s">
        <v>196</v>
      </c>
    </row>
    <row r="226" spans="1:10" ht="12.75">
      <c r="A226" s="110"/>
      <c r="B226" s="111"/>
      <c r="C226" s="111"/>
      <c r="D226" s="111"/>
      <c r="E226" s="111"/>
      <c r="F226" s="111"/>
      <c r="G226" s="111"/>
      <c r="H226" s="111"/>
      <c r="I226" s="111"/>
      <c r="J226" s="111"/>
    </row>
  </sheetData>
  <sheetProtection/>
  <mergeCells count="240">
    <mergeCell ref="A1:O1"/>
    <mergeCell ref="A2:A3"/>
    <mergeCell ref="B2:D3"/>
    <mergeCell ref="E2:E3"/>
    <mergeCell ref="F2:F3"/>
    <mergeCell ref="G2:G3"/>
    <mergeCell ref="H2:O3"/>
    <mergeCell ref="A4:A5"/>
    <mergeCell ref="B4:D5"/>
    <mergeCell ref="E4:E5"/>
    <mergeCell ref="F4:F5"/>
    <mergeCell ref="G4:G5"/>
    <mergeCell ref="H4:O5"/>
    <mergeCell ref="A6:A7"/>
    <mergeCell ref="B6:D7"/>
    <mergeCell ref="E6:E7"/>
    <mergeCell ref="F6:F7"/>
    <mergeCell ref="G6:G7"/>
    <mergeCell ref="H6:O7"/>
    <mergeCell ref="A8:A9"/>
    <mergeCell ref="B8:D9"/>
    <mergeCell ref="E8:E9"/>
    <mergeCell ref="F8:F9"/>
    <mergeCell ref="G8:G9"/>
    <mergeCell ref="H8:O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19:E219"/>
    <mergeCell ref="D208:E208"/>
    <mergeCell ref="D209:E209"/>
    <mergeCell ref="D210:E210"/>
    <mergeCell ref="D211:E211"/>
    <mergeCell ref="D212:E212"/>
    <mergeCell ref="D213:E213"/>
    <mergeCell ref="D220:E220"/>
    <mergeCell ref="D221:E221"/>
    <mergeCell ref="D222:E222"/>
    <mergeCell ref="D223:E223"/>
    <mergeCell ref="A226:J226"/>
    <mergeCell ref="D214:E214"/>
    <mergeCell ref="D215:E215"/>
    <mergeCell ref="D216:E216"/>
    <mergeCell ref="D217:E217"/>
    <mergeCell ref="D218:E218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1"/>
      <c r="B1" s="67"/>
      <c r="C1" s="187" t="s">
        <v>780</v>
      </c>
      <c r="D1" s="120"/>
      <c r="E1" s="120"/>
      <c r="F1" s="120"/>
      <c r="G1" s="120"/>
      <c r="H1" s="120"/>
      <c r="I1" s="120"/>
    </row>
    <row r="2" spans="1:10" ht="12.75">
      <c r="A2" s="121" t="s">
        <v>0</v>
      </c>
      <c r="B2" s="122"/>
      <c r="C2" s="123" t="str">
        <f>'Výkaz výměr'!D2</f>
        <v>Rekonstrukce inženýrských sítí v ulici Dvořákova</v>
      </c>
      <c r="D2" s="148"/>
      <c r="E2" s="126" t="s">
        <v>542</v>
      </c>
      <c r="F2" s="126" t="str">
        <f>'Výkaz výměr'!I2</f>
        <v>Město Pelhřimov</v>
      </c>
      <c r="G2" s="122"/>
      <c r="H2" s="126" t="s">
        <v>805</v>
      </c>
      <c r="I2" s="188" t="s">
        <v>809</v>
      </c>
      <c r="J2" s="31"/>
    </row>
    <row r="3" spans="1:10" ht="12.75">
      <c r="A3" s="118"/>
      <c r="B3" s="111"/>
      <c r="C3" s="124"/>
      <c r="D3" s="124"/>
      <c r="E3" s="111"/>
      <c r="F3" s="111"/>
      <c r="G3" s="111"/>
      <c r="H3" s="111"/>
      <c r="I3" s="116"/>
      <c r="J3" s="31"/>
    </row>
    <row r="4" spans="1:10" ht="12.75">
      <c r="A4" s="112" t="s">
        <v>1</v>
      </c>
      <c r="B4" s="111"/>
      <c r="C4" s="110" t="str">
        <f>'Výkaz výměr'!D4</f>
        <v> </v>
      </c>
      <c r="D4" s="111"/>
      <c r="E4" s="110" t="s">
        <v>543</v>
      </c>
      <c r="F4" s="110" t="str">
        <f>'Výkaz výměr'!I4</f>
        <v>Realizace a projekce staveb s.r.o.</v>
      </c>
      <c r="G4" s="111"/>
      <c r="H4" s="110" t="s">
        <v>805</v>
      </c>
      <c r="I4" s="186" t="s">
        <v>810</v>
      </c>
      <c r="J4" s="31"/>
    </row>
    <row r="5" spans="1:10" ht="12.75">
      <c r="A5" s="118"/>
      <c r="B5" s="111"/>
      <c r="C5" s="111"/>
      <c r="D5" s="111"/>
      <c r="E5" s="111"/>
      <c r="F5" s="111"/>
      <c r="G5" s="111"/>
      <c r="H5" s="111"/>
      <c r="I5" s="116"/>
      <c r="J5" s="31"/>
    </row>
    <row r="6" spans="1:10" ht="12.75">
      <c r="A6" s="112" t="s">
        <v>2</v>
      </c>
      <c r="B6" s="111"/>
      <c r="C6" s="110" t="str">
        <f>'Výkaz výměr'!D6</f>
        <v>Pelhřimov</v>
      </c>
      <c r="D6" s="111"/>
      <c r="E6" s="110" t="s">
        <v>544</v>
      </c>
      <c r="F6" s="110" t="str">
        <f>'Výkaz výměr'!I6</f>
        <v> </v>
      </c>
      <c r="G6" s="111"/>
      <c r="H6" s="110" t="s">
        <v>805</v>
      </c>
      <c r="I6" s="186"/>
      <c r="J6" s="31"/>
    </row>
    <row r="7" spans="1:10" ht="12.75">
      <c r="A7" s="118"/>
      <c r="B7" s="111"/>
      <c r="C7" s="111"/>
      <c r="D7" s="111"/>
      <c r="E7" s="111"/>
      <c r="F7" s="111"/>
      <c r="G7" s="111"/>
      <c r="H7" s="111"/>
      <c r="I7" s="116"/>
      <c r="J7" s="31"/>
    </row>
    <row r="8" spans="1:10" ht="12.75">
      <c r="A8" s="112" t="s">
        <v>522</v>
      </c>
      <c r="B8" s="111"/>
      <c r="C8" s="110" t="str">
        <f>'Výkaz výměr'!G4</f>
        <v> </v>
      </c>
      <c r="D8" s="111"/>
      <c r="E8" s="110" t="s">
        <v>523</v>
      </c>
      <c r="F8" s="110" t="str">
        <f>'Výkaz výměr'!G6</f>
        <v> </v>
      </c>
      <c r="G8" s="111"/>
      <c r="H8" s="115" t="s">
        <v>806</v>
      </c>
      <c r="I8" s="186" t="s">
        <v>195</v>
      </c>
      <c r="J8" s="31"/>
    </row>
    <row r="9" spans="1:10" ht="12.75">
      <c r="A9" s="118"/>
      <c r="B9" s="111"/>
      <c r="C9" s="111"/>
      <c r="D9" s="111"/>
      <c r="E9" s="111"/>
      <c r="F9" s="111"/>
      <c r="G9" s="111"/>
      <c r="H9" s="111"/>
      <c r="I9" s="116"/>
      <c r="J9" s="31"/>
    </row>
    <row r="10" spans="1:10" ht="12.75">
      <c r="A10" s="112" t="s">
        <v>3</v>
      </c>
      <c r="B10" s="111"/>
      <c r="C10" s="110" t="str">
        <f>'Výkaz výměr'!D8</f>
        <v> </v>
      </c>
      <c r="D10" s="111"/>
      <c r="E10" s="110" t="s">
        <v>545</v>
      </c>
      <c r="F10" s="110" t="str">
        <f>'Výkaz výměr'!I8</f>
        <v> </v>
      </c>
      <c r="G10" s="111"/>
      <c r="H10" s="115" t="s">
        <v>807</v>
      </c>
      <c r="I10" s="185" t="str">
        <f>'Výkaz výměr'!G8</f>
        <v>10.09.2019</v>
      </c>
      <c r="J10" s="31"/>
    </row>
    <row r="11" spans="1:10" ht="12.75">
      <c r="A11" s="151"/>
      <c r="B11" s="152"/>
      <c r="C11" s="152"/>
      <c r="D11" s="152"/>
      <c r="E11" s="152"/>
      <c r="F11" s="152"/>
      <c r="G11" s="152"/>
      <c r="H11" s="152"/>
      <c r="I11" s="153"/>
      <c r="J11" s="31"/>
    </row>
    <row r="12" spans="1:9" ht="23.25" customHeight="1">
      <c r="A12" s="181" t="s">
        <v>766</v>
      </c>
      <c r="B12" s="182"/>
      <c r="C12" s="182"/>
      <c r="D12" s="182"/>
      <c r="E12" s="182"/>
      <c r="F12" s="182"/>
      <c r="G12" s="182"/>
      <c r="H12" s="182"/>
      <c r="I12" s="182"/>
    </row>
    <row r="13" spans="1:10" ht="26.25" customHeight="1">
      <c r="A13" s="68" t="s">
        <v>767</v>
      </c>
      <c r="B13" s="183" t="s">
        <v>778</v>
      </c>
      <c r="C13" s="184"/>
      <c r="D13" s="68" t="s">
        <v>781</v>
      </c>
      <c r="E13" s="183" t="s">
        <v>790</v>
      </c>
      <c r="F13" s="184"/>
      <c r="G13" s="68" t="s">
        <v>791</v>
      </c>
      <c r="H13" s="183" t="s">
        <v>808</v>
      </c>
      <c r="I13" s="184"/>
      <c r="J13" s="31"/>
    </row>
    <row r="14" spans="1:10" ht="15" customHeight="1">
      <c r="A14" s="69" t="s">
        <v>768</v>
      </c>
      <c r="B14" s="72" t="s">
        <v>779</v>
      </c>
      <c r="C14" s="75">
        <f>SUM('Výkaz výměr'!AB12:AB249)</f>
        <v>0</v>
      </c>
      <c r="D14" s="179" t="s">
        <v>782</v>
      </c>
      <c r="E14" s="180"/>
      <c r="F14" s="75">
        <v>0</v>
      </c>
      <c r="G14" s="179" t="s">
        <v>792</v>
      </c>
      <c r="H14" s="180"/>
      <c r="I14" s="75">
        <v>0</v>
      </c>
      <c r="J14" s="31"/>
    </row>
    <row r="15" spans="1:10" ht="15" customHeight="1">
      <c r="A15" s="70"/>
      <c r="B15" s="72" t="s">
        <v>552</v>
      </c>
      <c r="C15" s="75">
        <f>SUM('Výkaz výměr'!AC12:AC249)</f>
        <v>0</v>
      </c>
      <c r="D15" s="179" t="s">
        <v>783</v>
      </c>
      <c r="E15" s="180"/>
      <c r="F15" s="75">
        <v>0</v>
      </c>
      <c r="G15" s="179" t="s">
        <v>793</v>
      </c>
      <c r="H15" s="180"/>
      <c r="I15" s="75">
        <v>0</v>
      </c>
      <c r="J15" s="31"/>
    </row>
    <row r="16" spans="1:10" ht="15" customHeight="1">
      <c r="A16" s="69" t="s">
        <v>769</v>
      </c>
      <c r="B16" s="72" t="s">
        <v>779</v>
      </c>
      <c r="C16" s="75">
        <f>SUM('Výkaz výměr'!AD12:AD249)</f>
        <v>0</v>
      </c>
      <c r="D16" s="179" t="s">
        <v>784</v>
      </c>
      <c r="E16" s="180"/>
      <c r="F16" s="75">
        <v>0</v>
      </c>
      <c r="G16" s="179" t="s">
        <v>794</v>
      </c>
      <c r="H16" s="180"/>
      <c r="I16" s="75">
        <v>0</v>
      </c>
      <c r="J16" s="31"/>
    </row>
    <row r="17" spans="1:10" ht="15" customHeight="1">
      <c r="A17" s="70"/>
      <c r="B17" s="72" t="s">
        <v>552</v>
      </c>
      <c r="C17" s="75">
        <f>SUM('Výkaz výměr'!AE12:AE249)</f>
        <v>0</v>
      </c>
      <c r="D17" s="179"/>
      <c r="E17" s="180"/>
      <c r="F17" s="76"/>
      <c r="G17" s="179" t="s">
        <v>795</v>
      </c>
      <c r="H17" s="180"/>
      <c r="I17" s="75">
        <v>0</v>
      </c>
      <c r="J17" s="31"/>
    </row>
    <row r="18" spans="1:10" ht="15" customHeight="1">
      <c r="A18" s="69" t="s">
        <v>770</v>
      </c>
      <c r="B18" s="72" t="s">
        <v>779</v>
      </c>
      <c r="C18" s="75">
        <f>SUM('Výkaz výměr'!AF12:AF249)</f>
        <v>0</v>
      </c>
      <c r="D18" s="179"/>
      <c r="E18" s="180"/>
      <c r="F18" s="76"/>
      <c r="G18" s="179" t="s">
        <v>796</v>
      </c>
      <c r="H18" s="180"/>
      <c r="I18" s="75">
        <v>0</v>
      </c>
      <c r="J18" s="31"/>
    </row>
    <row r="19" spans="1:10" ht="15" customHeight="1">
      <c r="A19" s="70"/>
      <c r="B19" s="72" t="s">
        <v>552</v>
      </c>
      <c r="C19" s="75">
        <f>SUM('Výkaz výměr'!AG12:AG249)</f>
        <v>0</v>
      </c>
      <c r="D19" s="179"/>
      <c r="E19" s="180"/>
      <c r="F19" s="76"/>
      <c r="G19" s="179" t="s">
        <v>797</v>
      </c>
      <c r="H19" s="180"/>
      <c r="I19" s="75">
        <v>0</v>
      </c>
      <c r="J19" s="31"/>
    </row>
    <row r="20" spans="1:10" ht="15" customHeight="1">
      <c r="A20" s="177" t="s">
        <v>440</v>
      </c>
      <c r="B20" s="178"/>
      <c r="C20" s="75">
        <f>SUM('Výkaz výměr'!AH12:AH249)</f>
        <v>0</v>
      </c>
      <c r="D20" s="179"/>
      <c r="E20" s="180"/>
      <c r="F20" s="76"/>
      <c r="G20" s="179"/>
      <c r="H20" s="180"/>
      <c r="I20" s="76"/>
      <c r="J20" s="31"/>
    </row>
    <row r="21" spans="1:10" ht="15" customHeight="1">
      <c r="A21" s="177" t="s">
        <v>771</v>
      </c>
      <c r="B21" s="178"/>
      <c r="C21" s="75">
        <f>SUM('Výkaz výměr'!Z12:Z249)</f>
        <v>0</v>
      </c>
      <c r="D21" s="179"/>
      <c r="E21" s="180"/>
      <c r="F21" s="76"/>
      <c r="G21" s="179"/>
      <c r="H21" s="180"/>
      <c r="I21" s="76"/>
      <c r="J21" s="31"/>
    </row>
    <row r="22" spans="1:10" ht="16.5" customHeight="1">
      <c r="A22" s="177" t="s">
        <v>772</v>
      </c>
      <c r="B22" s="178"/>
      <c r="C22" s="75">
        <f>ROUND(SUM(C14:C21),0)</f>
        <v>0</v>
      </c>
      <c r="D22" s="177" t="s">
        <v>785</v>
      </c>
      <c r="E22" s="178"/>
      <c r="F22" s="75">
        <f>SUM(F14:F21)</f>
        <v>0</v>
      </c>
      <c r="G22" s="177" t="s">
        <v>798</v>
      </c>
      <c r="H22" s="178"/>
      <c r="I22" s="75">
        <f>SUM(I14:I21)</f>
        <v>0</v>
      </c>
      <c r="J22" s="31"/>
    </row>
    <row r="23" spans="1:10" ht="15" customHeight="1">
      <c r="A23" s="7"/>
      <c r="B23" s="7"/>
      <c r="C23" s="73"/>
      <c r="D23" s="177" t="s">
        <v>786</v>
      </c>
      <c r="E23" s="178"/>
      <c r="F23" s="77">
        <v>0</v>
      </c>
      <c r="G23" s="177" t="s">
        <v>799</v>
      </c>
      <c r="H23" s="178"/>
      <c r="I23" s="75">
        <v>0</v>
      </c>
      <c r="J23" s="31"/>
    </row>
    <row r="24" spans="4:10" ht="15" customHeight="1">
      <c r="D24" s="7"/>
      <c r="E24" s="7"/>
      <c r="F24" s="78"/>
      <c r="G24" s="177" t="s">
        <v>800</v>
      </c>
      <c r="H24" s="178"/>
      <c r="I24" s="75">
        <v>0</v>
      </c>
      <c r="J24" s="31"/>
    </row>
    <row r="25" spans="6:10" ht="15" customHeight="1">
      <c r="F25" s="79"/>
      <c r="G25" s="177" t="s">
        <v>801</v>
      </c>
      <c r="H25" s="178"/>
      <c r="I25" s="75">
        <v>0</v>
      </c>
      <c r="J25" s="31"/>
    </row>
    <row r="26" spans="1:9" ht="12.75">
      <c r="A26" s="67"/>
      <c r="B26" s="67"/>
      <c r="C26" s="67"/>
      <c r="G26" s="7"/>
      <c r="H26" s="7"/>
      <c r="I26" s="7"/>
    </row>
    <row r="27" spans="1:9" ht="15" customHeight="1">
      <c r="A27" s="172" t="s">
        <v>773</v>
      </c>
      <c r="B27" s="173"/>
      <c r="C27" s="80">
        <f>ROUND(SUM('Výkaz výměr'!AJ12:AJ249),0)</f>
        <v>0</v>
      </c>
      <c r="D27" s="74"/>
      <c r="E27" s="67"/>
      <c r="F27" s="67"/>
      <c r="G27" s="67"/>
      <c r="H27" s="67"/>
      <c r="I27" s="67"/>
    </row>
    <row r="28" spans="1:10" ht="15" customHeight="1">
      <c r="A28" s="172" t="s">
        <v>774</v>
      </c>
      <c r="B28" s="173"/>
      <c r="C28" s="80">
        <f>ROUND(SUM('Výkaz výměr'!AK12:AK249),0)</f>
        <v>0</v>
      </c>
      <c r="D28" s="172" t="s">
        <v>787</v>
      </c>
      <c r="E28" s="173"/>
      <c r="F28" s="80">
        <f>ROUND(C28*(15/100),2)</f>
        <v>0</v>
      </c>
      <c r="G28" s="172" t="s">
        <v>802</v>
      </c>
      <c r="H28" s="173"/>
      <c r="I28" s="80">
        <f>ROUND(SUM(C27:C29),0)</f>
        <v>0</v>
      </c>
      <c r="J28" s="31"/>
    </row>
    <row r="29" spans="1:10" ht="15" customHeight="1">
      <c r="A29" s="172" t="s">
        <v>775</v>
      </c>
      <c r="B29" s="173"/>
      <c r="C29" s="80">
        <f>ROUND(SUM('Výkaz výměr'!AL12:AL249)+(F22+I22+F23+I23+I24+I25),0)</f>
        <v>0</v>
      </c>
      <c r="D29" s="172" t="s">
        <v>788</v>
      </c>
      <c r="E29" s="173"/>
      <c r="F29" s="80">
        <f>ROUND(C29*(21/100),2)</f>
        <v>0</v>
      </c>
      <c r="G29" s="172" t="s">
        <v>803</v>
      </c>
      <c r="H29" s="173"/>
      <c r="I29" s="80">
        <f>ROUND(SUM(F28:F29)+I28,0)</f>
        <v>0</v>
      </c>
      <c r="J29" s="31"/>
    </row>
    <row r="30" spans="1:9" ht="12.75">
      <c r="A30" s="71"/>
      <c r="B30" s="71"/>
      <c r="C30" s="71"/>
      <c r="D30" s="71"/>
      <c r="E30" s="71"/>
      <c r="F30" s="71"/>
      <c r="G30" s="71"/>
      <c r="H30" s="71"/>
      <c r="I30" s="71"/>
    </row>
    <row r="31" spans="1:10" ht="14.25" customHeight="1">
      <c r="A31" s="174" t="s">
        <v>776</v>
      </c>
      <c r="B31" s="175"/>
      <c r="C31" s="176"/>
      <c r="D31" s="174" t="s">
        <v>789</v>
      </c>
      <c r="E31" s="175"/>
      <c r="F31" s="176"/>
      <c r="G31" s="174" t="s">
        <v>804</v>
      </c>
      <c r="H31" s="175"/>
      <c r="I31" s="176"/>
      <c r="J31" s="32"/>
    </row>
    <row r="32" spans="1:10" ht="14.25" customHeight="1">
      <c r="A32" s="166"/>
      <c r="B32" s="167"/>
      <c r="C32" s="168"/>
      <c r="D32" s="166"/>
      <c r="E32" s="167"/>
      <c r="F32" s="168"/>
      <c r="G32" s="166"/>
      <c r="H32" s="167"/>
      <c r="I32" s="168"/>
      <c r="J32" s="32"/>
    </row>
    <row r="33" spans="1:10" ht="14.25" customHeight="1">
      <c r="A33" s="166"/>
      <c r="B33" s="167"/>
      <c r="C33" s="168"/>
      <c r="D33" s="166"/>
      <c r="E33" s="167"/>
      <c r="F33" s="168"/>
      <c r="G33" s="166"/>
      <c r="H33" s="167"/>
      <c r="I33" s="168"/>
      <c r="J33" s="32"/>
    </row>
    <row r="34" spans="1:10" ht="14.25" customHeight="1">
      <c r="A34" s="166"/>
      <c r="B34" s="167"/>
      <c r="C34" s="168"/>
      <c r="D34" s="166"/>
      <c r="E34" s="167"/>
      <c r="F34" s="168"/>
      <c r="G34" s="166"/>
      <c r="H34" s="167"/>
      <c r="I34" s="168"/>
      <c r="J34" s="32"/>
    </row>
    <row r="35" spans="1:10" ht="14.25" customHeight="1">
      <c r="A35" s="169" t="s">
        <v>777</v>
      </c>
      <c r="B35" s="170"/>
      <c r="C35" s="171"/>
      <c r="D35" s="169" t="s">
        <v>777</v>
      </c>
      <c r="E35" s="170"/>
      <c r="F35" s="171"/>
      <c r="G35" s="169" t="s">
        <v>777</v>
      </c>
      <c r="H35" s="170"/>
      <c r="I35" s="171"/>
      <c r="J35" s="32"/>
    </row>
    <row r="36" spans="1:9" ht="11.25" customHeight="1">
      <c r="A36" s="53" t="s">
        <v>196</v>
      </c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110"/>
      <c r="B37" s="111"/>
      <c r="C37" s="111"/>
      <c r="D37" s="111"/>
      <c r="E37" s="111"/>
      <c r="F37" s="111"/>
      <c r="G37" s="111"/>
      <c r="H37" s="111"/>
      <c r="I37" s="11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pknez</dc:creator>
  <cp:keywords/>
  <dc:description/>
  <cp:lastModifiedBy>Koňák Josef</cp:lastModifiedBy>
  <dcterms:created xsi:type="dcterms:W3CDTF">2020-02-03T09:48:12Z</dcterms:created>
  <dcterms:modified xsi:type="dcterms:W3CDTF">2020-02-03T10:21:17Z</dcterms:modified>
  <cp:category/>
  <cp:version/>
  <cp:contentType/>
  <cp:contentStatus/>
</cp:coreProperties>
</file>